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g17fs\国保医療課\01.国保\04.保険料\賦課\11.ホームページ\R7\R7ホームページシミュレーション\"/>
    </mc:Choice>
  </mc:AlternateContent>
  <bookViews>
    <workbookView xWindow="135" yWindow="345" windowWidth="11715" windowHeight="8310" tabRatio="509"/>
  </bookViews>
  <sheets>
    <sheet name="Sheet1" sheetId="16" r:id="rId1"/>
    <sheet name="入力画面" sheetId="13" state="hidden" r:id="rId2"/>
    <sheet name="算出表" sheetId="14" state="hidden" r:id="rId3"/>
    <sheet name="軽減基準額早見表" sheetId="15" state="hidden" r:id="rId4"/>
    <sheet name="合計（印刷）" sheetId="9" state="hidden" r:id="rId5"/>
    <sheet name="医療分・支援・介護分（印刷））" sheetId="1" state="hidden" r:id="rId6"/>
  </sheets>
  <definedNames>
    <definedName name="OLE_LINK1" localSheetId="2">算出表!$B$58</definedName>
    <definedName name="OLE_LINK2" localSheetId="2">算出表!$B$58</definedName>
    <definedName name="_xlnm.Print_Area" localSheetId="0">Sheet1!$A$1:$AC$112</definedName>
    <definedName name="_xlnm.Print_Area" localSheetId="5">'医療分・支援・介護分（印刷））'!$A$1:$AA$266</definedName>
    <definedName name="_xlnm.Print_Area" localSheetId="3">軽減基準額早見表!$G$1:$M$22,軽減基準額早見表!$A$1:$E$20</definedName>
    <definedName name="_xlnm.Print_Area" localSheetId="4">'合計（印刷）'!$A$1:$W$67</definedName>
    <definedName name="_xlnm.Print_Area" localSheetId="2">算出表!$A$1:$AN$116</definedName>
    <definedName name="_xlnm.Print_Area" localSheetId="1">入力画面!$A$55:$R$88,入力画面!$G$9:$K$10,入力画面!$T$10:$X$11</definedName>
  </definedNames>
  <calcPr calcId="162913" fullPrecision="0"/>
  <fileRecoveryPr autoRecover="0"/>
</workbook>
</file>

<file path=xl/calcChain.xml><?xml version="1.0" encoding="utf-8"?>
<calcChain xmlns="http://schemas.openxmlformats.org/spreadsheetml/2006/main">
  <c r="E12" i="13" l="1"/>
  <c r="E42" i="13"/>
  <c r="E37" i="13"/>
  <c r="E32" i="13"/>
  <c r="E27" i="13"/>
  <c r="E22" i="13"/>
  <c r="E17" i="13"/>
  <c r="C17" i="13"/>
  <c r="I4" i="15" l="1"/>
  <c r="BY22" i="1" l="1"/>
  <c r="E77" i="13"/>
  <c r="CE101" i="1" s="1"/>
  <c r="E68" i="13"/>
  <c r="CE12" i="1" s="1"/>
  <c r="N79" i="1" l="1"/>
  <c r="BY171" i="1"/>
  <c r="BY82" i="1"/>
  <c r="N138" i="1"/>
  <c r="BY52" i="1"/>
  <c r="BY141" i="1"/>
  <c r="N108" i="1"/>
  <c r="BY111" i="1"/>
  <c r="N148" i="1"/>
  <c r="BY62" i="1"/>
  <c r="BY151" i="1"/>
  <c r="N128" i="1"/>
  <c r="BY131" i="1"/>
  <c r="BY42" i="1"/>
  <c r="N118" i="1"/>
  <c r="BY32" i="1"/>
  <c r="BY121" i="1"/>
  <c r="N69" i="1"/>
  <c r="BY72" i="1"/>
  <c r="BY161" i="1"/>
  <c r="N168" i="1"/>
  <c r="N158" i="1"/>
  <c r="N59" i="1"/>
  <c r="N49" i="1"/>
  <c r="N39" i="1"/>
  <c r="N29" i="1"/>
  <c r="N19" i="1"/>
  <c r="CB165" i="1"/>
  <c r="CA165" i="1"/>
  <c r="BZ165" i="1"/>
  <c r="BY165" i="1"/>
  <c r="CB155" i="1"/>
  <c r="CA155" i="1"/>
  <c r="BZ155" i="1"/>
  <c r="BY155" i="1"/>
  <c r="CB145" i="1"/>
  <c r="CA145" i="1"/>
  <c r="BZ145" i="1"/>
  <c r="BY145" i="1"/>
  <c r="CB135" i="1"/>
  <c r="CA135" i="1"/>
  <c r="BZ135" i="1"/>
  <c r="BY135" i="1"/>
  <c r="CB125" i="1"/>
  <c r="CA125" i="1"/>
  <c r="BZ125" i="1"/>
  <c r="BY125" i="1"/>
  <c r="CB115" i="1"/>
  <c r="CA115" i="1"/>
  <c r="BZ115" i="1"/>
  <c r="BY115" i="1"/>
  <c r="CB105" i="1"/>
  <c r="CA105" i="1"/>
  <c r="BZ105" i="1"/>
  <c r="BY105" i="1"/>
  <c r="CB76" i="1"/>
  <c r="CA76" i="1"/>
  <c r="BZ76" i="1"/>
  <c r="BY76" i="1"/>
  <c r="CB66" i="1"/>
  <c r="CA66" i="1"/>
  <c r="BZ66" i="1"/>
  <c r="BY66" i="1"/>
  <c r="CB56" i="1"/>
  <c r="CA56" i="1"/>
  <c r="BZ56" i="1"/>
  <c r="BY56" i="1"/>
  <c r="CB46" i="1"/>
  <c r="CA46" i="1"/>
  <c r="BZ46" i="1"/>
  <c r="BY46" i="1"/>
  <c r="CB36" i="1"/>
  <c r="CA36" i="1"/>
  <c r="BZ36" i="1"/>
  <c r="BY36" i="1"/>
  <c r="CB26" i="1"/>
  <c r="CA26" i="1"/>
  <c r="BZ26" i="1"/>
  <c r="BY26" i="1"/>
  <c r="CB16" i="1"/>
  <c r="CA16" i="1"/>
  <c r="BZ16" i="1"/>
  <c r="BY16" i="1"/>
  <c r="P20" i="16" l="1"/>
  <c r="O62" i="16"/>
  <c r="P62" i="16" s="1"/>
  <c r="V46" i="16"/>
  <c r="U46" i="16"/>
  <c r="T46" i="16"/>
  <c r="S46" i="16"/>
  <c r="R46" i="16"/>
  <c r="Q46" i="16"/>
  <c r="P46" i="16"/>
  <c r="V45" i="16"/>
  <c r="U45" i="16"/>
  <c r="T45" i="16"/>
  <c r="S45" i="16"/>
  <c r="R45" i="16"/>
  <c r="Q45" i="16"/>
  <c r="P45" i="16"/>
  <c r="V44" i="16"/>
  <c r="U44" i="16"/>
  <c r="T44" i="16"/>
  <c r="S44" i="16"/>
  <c r="R44" i="16"/>
  <c r="Q44" i="16"/>
  <c r="P44" i="16"/>
  <c r="V40" i="16"/>
  <c r="U40" i="16"/>
  <c r="T40" i="16"/>
  <c r="S40" i="16"/>
  <c r="R40" i="16"/>
  <c r="Q40" i="16"/>
  <c r="P40" i="16"/>
  <c r="V39" i="16"/>
  <c r="U39" i="16"/>
  <c r="T39" i="16"/>
  <c r="S39" i="16"/>
  <c r="R39" i="16"/>
  <c r="Q39" i="16"/>
  <c r="P39" i="16"/>
  <c r="V38" i="16"/>
  <c r="U38" i="16"/>
  <c r="T38" i="16"/>
  <c r="S38" i="16"/>
  <c r="R38" i="16"/>
  <c r="Q38" i="16"/>
  <c r="P38" i="16"/>
  <c r="P47" i="16"/>
  <c r="V42" i="16"/>
  <c r="U42" i="16"/>
  <c r="T42" i="16"/>
  <c r="S42" i="16"/>
  <c r="R42" i="16"/>
  <c r="Q42" i="16"/>
  <c r="P42" i="16"/>
  <c r="Q30" i="16"/>
  <c r="Q29" i="16"/>
  <c r="Q27" i="16"/>
  <c r="Q26" i="16"/>
  <c r="V29" i="16"/>
  <c r="U29" i="16"/>
  <c r="T29" i="16"/>
  <c r="S29" i="16"/>
  <c r="R29" i="16"/>
  <c r="P29" i="16"/>
  <c r="P28" i="16"/>
  <c r="R26" i="16"/>
  <c r="C42" i="13"/>
  <c r="C37" i="13"/>
  <c r="B65" i="1" s="1"/>
  <c r="B154" i="1" s="1"/>
  <c r="H159" i="1" s="1"/>
  <c r="C32" i="13"/>
  <c r="C27" i="13"/>
  <c r="B45" i="1" s="1"/>
  <c r="C22" i="13"/>
  <c r="AJ24" i="13" s="1"/>
  <c r="C12" i="14"/>
  <c r="C12" i="13"/>
  <c r="B14" i="9" s="1"/>
  <c r="S47" i="16"/>
  <c r="V41" i="16"/>
  <c r="T43" i="16"/>
  <c r="U43" i="16"/>
  <c r="V43" i="16"/>
  <c r="S43" i="16"/>
  <c r="R43" i="16"/>
  <c r="Q43" i="16"/>
  <c r="P43" i="16"/>
  <c r="V37" i="16"/>
  <c r="U37" i="16"/>
  <c r="T37" i="16"/>
  <c r="S37" i="16"/>
  <c r="R37" i="16"/>
  <c r="Q37" i="16"/>
  <c r="V36" i="16"/>
  <c r="U36" i="16"/>
  <c r="T36" i="16"/>
  <c r="S36" i="16"/>
  <c r="R36" i="16"/>
  <c r="Q36" i="16"/>
  <c r="P36" i="16"/>
  <c r="P37" i="16"/>
  <c r="V47" i="16"/>
  <c r="U47" i="16"/>
  <c r="U41" i="16"/>
  <c r="T47" i="16"/>
  <c r="T41" i="16"/>
  <c r="S41" i="16"/>
  <c r="R47" i="16"/>
  <c r="R41" i="16"/>
  <c r="Q47" i="16"/>
  <c r="Q41" i="16"/>
  <c r="P41" i="16"/>
  <c r="V30" i="16"/>
  <c r="V28" i="16"/>
  <c r="V27" i="16"/>
  <c r="V26" i="16"/>
  <c r="V25" i="16"/>
  <c r="V24" i="16"/>
  <c r="V23" i="16"/>
  <c r="V22" i="16"/>
  <c r="V21" i="16"/>
  <c r="V20" i="16"/>
  <c r="U30" i="16"/>
  <c r="U28" i="16"/>
  <c r="U27" i="16"/>
  <c r="U26" i="16"/>
  <c r="U25" i="16"/>
  <c r="U24" i="16"/>
  <c r="U23" i="16"/>
  <c r="U22" i="16"/>
  <c r="U21" i="16"/>
  <c r="U20" i="16"/>
  <c r="T30" i="16"/>
  <c r="T28" i="16"/>
  <c r="T27" i="16"/>
  <c r="T26" i="16"/>
  <c r="T25" i="16"/>
  <c r="T24" i="16"/>
  <c r="T23" i="16"/>
  <c r="T22" i="16"/>
  <c r="T21" i="16"/>
  <c r="T20" i="16"/>
  <c r="S30" i="16"/>
  <c r="S28" i="16"/>
  <c r="S27" i="16"/>
  <c r="S26" i="16"/>
  <c r="S25" i="16"/>
  <c r="S24" i="16"/>
  <c r="S23" i="16"/>
  <c r="S22" i="16"/>
  <c r="S21" i="16"/>
  <c r="S20" i="16"/>
  <c r="R30" i="16"/>
  <c r="R28" i="16"/>
  <c r="R27" i="16"/>
  <c r="R25" i="16"/>
  <c r="R24" i="16"/>
  <c r="R23" i="16"/>
  <c r="R22" i="16"/>
  <c r="R21" i="16"/>
  <c r="R20" i="16"/>
  <c r="Q28" i="16"/>
  <c r="Q25" i="16"/>
  <c r="Q24" i="16"/>
  <c r="Q23" i="16"/>
  <c r="Q22" i="16"/>
  <c r="Q21" i="16"/>
  <c r="Q20" i="16"/>
  <c r="P30" i="16"/>
  <c r="P27" i="16"/>
  <c r="P26" i="16"/>
  <c r="P25" i="16"/>
  <c r="P24" i="16"/>
  <c r="P23" i="16"/>
  <c r="P21" i="16"/>
  <c r="P22" i="16"/>
  <c r="P50" i="14"/>
  <c r="I49" i="14"/>
  <c r="L48" i="14"/>
  <c r="Y25" i="13"/>
  <c r="Z25" i="13"/>
  <c r="CE9" i="1"/>
  <c r="CF9" i="1" s="1"/>
  <c r="BZ7" i="1" s="1"/>
  <c r="CE98" i="1"/>
  <c r="CH98" i="1" s="1"/>
  <c r="CB96" i="1" s="1"/>
  <c r="CE187" i="1"/>
  <c r="CF187" i="1"/>
  <c r="BZ194" i="1"/>
  <c r="CE8" i="1"/>
  <c r="CG8" i="1" s="1"/>
  <c r="CE7" i="1"/>
  <c r="CE97" i="1"/>
  <c r="CH97" i="1" s="1"/>
  <c r="CE96" i="1"/>
  <c r="CE185" i="1"/>
  <c r="CE186" i="1"/>
  <c r="CG186" i="1"/>
  <c r="CE10" i="1"/>
  <c r="A87" i="1" s="1"/>
  <c r="AF5" i="1"/>
  <c r="CE11" i="1"/>
  <c r="CE188" i="1"/>
  <c r="AF183" i="1"/>
  <c r="CE189" i="1"/>
  <c r="CE100" i="1"/>
  <c r="CE99" i="1"/>
  <c r="AF94" i="1" s="1"/>
  <c r="A176" i="1"/>
  <c r="A1" i="1"/>
  <c r="A90" i="1"/>
  <c r="D2" i="1"/>
  <c r="D91" i="1"/>
  <c r="BY98" i="1"/>
  <c r="BZ98" i="1"/>
  <c r="CA98" i="1"/>
  <c r="CB98" i="1"/>
  <c r="N74" i="13"/>
  <c r="J74" i="13"/>
  <c r="G74" i="13"/>
  <c r="N73" i="13"/>
  <c r="N77" i="13" s="1"/>
  <c r="CH101" i="1" s="1"/>
  <c r="J73" i="13"/>
  <c r="J77" i="13" s="1"/>
  <c r="CG101" i="1" s="1"/>
  <c r="G73" i="13"/>
  <c r="G77" i="13" s="1"/>
  <c r="CF101" i="1" s="1"/>
  <c r="A1" i="9"/>
  <c r="A3" i="13"/>
  <c r="CH186" i="1"/>
  <c r="CB234" i="1"/>
  <c r="AJ6" i="1"/>
  <c r="AJ7" i="1"/>
  <c r="BY196" i="1"/>
  <c r="BZ196" i="1"/>
  <c r="CA196" i="1"/>
  <c r="CB196" i="1"/>
  <c r="CG187" i="1"/>
  <c r="CA194" i="1"/>
  <c r="BY9" i="1"/>
  <c r="BZ9" i="1"/>
  <c r="CA9" i="1"/>
  <c r="CB9" i="1"/>
  <c r="BZ6" i="1"/>
  <c r="CB6" i="1"/>
  <c r="BY203" i="1"/>
  <c r="BY213" i="1"/>
  <c r="BY223" i="1"/>
  <c r="BZ203" i="1"/>
  <c r="BZ213" i="1"/>
  <c r="BZ223" i="1"/>
  <c r="BZ233" i="1"/>
  <c r="BZ193" i="1"/>
  <c r="CA203" i="1"/>
  <c r="CA193" i="1"/>
  <c r="CB203" i="1"/>
  <c r="CB213" i="1"/>
  <c r="CB223" i="1"/>
  <c r="CB233" i="1"/>
  <c r="CB243" i="1"/>
  <c r="CB253" i="1"/>
  <c r="CB261" i="1"/>
  <c r="AC6" i="9"/>
  <c r="BF6" i="9"/>
  <c r="B4" i="9"/>
  <c r="G64" i="13"/>
  <c r="G68" i="13" s="1"/>
  <c r="CF12" i="1" s="1"/>
  <c r="J64" i="13"/>
  <c r="J68" i="13" s="1"/>
  <c r="CG12" i="1" s="1"/>
  <c r="N64" i="13"/>
  <c r="N68" i="13" s="1"/>
  <c r="CH12" i="1" s="1"/>
  <c r="G65" i="13"/>
  <c r="J65" i="13"/>
  <c r="N65" i="13"/>
  <c r="G82" i="13"/>
  <c r="J82" i="13"/>
  <c r="N82" i="13"/>
  <c r="G83" i="13"/>
  <c r="J83" i="13"/>
  <c r="N83" i="13"/>
  <c r="AN13" i="13"/>
  <c r="AM13" i="13"/>
  <c r="BZ243" i="1"/>
  <c r="BZ253" i="1"/>
  <c r="BZ261" i="1"/>
  <c r="CA213" i="1"/>
  <c r="CA223" i="1"/>
  <c r="CA233" i="1"/>
  <c r="CA243" i="1"/>
  <c r="CA253" i="1"/>
  <c r="CA261" i="1"/>
  <c r="BY233" i="1"/>
  <c r="BY243" i="1"/>
  <c r="BY253" i="1"/>
  <c r="BY261" i="1"/>
  <c r="BZ95" i="1"/>
  <c r="A265" i="1"/>
  <c r="BY95" i="1"/>
  <c r="A179" i="1"/>
  <c r="BY6" i="1"/>
  <c r="CB95" i="1"/>
  <c r="D180" i="1"/>
  <c r="CH187" i="1"/>
  <c r="CB194" i="1"/>
  <c r="CB193" i="1"/>
  <c r="CA6" i="1"/>
  <c r="BY193" i="1"/>
  <c r="CA95" i="1"/>
  <c r="CG98" i="1"/>
  <c r="CA96" i="1" s="1"/>
  <c r="S48" i="14"/>
  <c r="T46" i="14" s="1"/>
  <c r="AF48" i="14"/>
  <c r="CA234" i="1"/>
  <c r="CA262" i="1"/>
  <c r="CA224" i="1"/>
  <c r="CA244" i="1"/>
  <c r="CA214" i="1"/>
  <c r="CA254" i="1"/>
  <c r="CA204" i="1"/>
  <c r="CB204" i="1"/>
  <c r="CF186" i="1"/>
  <c r="CB214" i="1"/>
  <c r="CB254" i="1"/>
  <c r="CB244" i="1"/>
  <c r="CB262" i="1"/>
  <c r="CB224" i="1"/>
  <c r="BZ244" i="1"/>
  <c r="BZ234" i="1"/>
  <c r="BZ204" i="1"/>
  <c r="BZ224" i="1"/>
  <c r="BZ262" i="1"/>
  <c r="BZ254" i="1"/>
  <c r="BZ214" i="1"/>
  <c r="W35" i="14"/>
  <c r="W44" i="14"/>
  <c r="W36" i="14"/>
  <c r="W43" i="14"/>
  <c r="W41" i="14"/>
  <c r="W37" i="14"/>
  <c r="W42" i="14"/>
  <c r="W40" i="14"/>
  <c r="W38" i="14"/>
  <c r="W39" i="14"/>
  <c r="CF8" i="1"/>
  <c r="J4" i="15"/>
  <c r="K4" i="15"/>
  <c r="CF98" i="1" l="1"/>
  <c r="BZ96" i="1" s="1"/>
  <c r="CF97" i="1"/>
  <c r="BZ106" i="1" s="1"/>
  <c r="CH9" i="1"/>
  <c r="CB7" i="1" s="1"/>
  <c r="CG9" i="1"/>
  <c r="CA7" i="1" s="1"/>
  <c r="CG97" i="1"/>
  <c r="CA156" i="1" s="1"/>
  <c r="U31" i="16"/>
  <c r="U51" i="16" s="1"/>
  <c r="V31" i="16"/>
  <c r="V51" i="16" s="1"/>
  <c r="I40" i="13"/>
  <c r="K245" i="1" s="1"/>
  <c r="C245" i="1" s="1"/>
  <c r="R31" i="16"/>
  <c r="R51" i="16" s="1"/>
  <c r="S31" i="16"/>
  <c r="S51" i="16" s="1"/>
  <c r="T31" i="16"/>
  <c r="T51" i="16" s="1"/>
  <c r="Q31" i="16"/>
  <c r="Q51" i="16" s="1"/>
  <c r="CB166" i="1"/>
  <c r="CB126" i="1"/>
  <c r="CB146" i="1"/>
  <c r="CB136" i="1"/>
  <c r="CB106" i="1"/>
  <c r="CB156" i="1"/>
  <c r="CB116" i="1"/>
  <c r="CA116" i="1"/>
  <c r="CA106" i="1"/>
  <c r="CA166" i="1"/>
  <c r="CA136" i="1"/>
  <c r="CA146" i="1"/>
  <c r="BZ146" i="1"/>
  <c r="BZ156" i="1"/>
  <c r="BZ116" i="1"/>
  <c r="CA57" i="1"/>
  <c r="CA17" i="1"/>
  <c r="CA77" i="1"/>
  <c r="CA37" i="1"/>
  <c r="CA47" i="1"/>
  <c r="CA67" i="1"/>
  <c r="CA27" i="1"/>
  <c r="BZ47" i="1"/>
  <c r="BZ67" i="1"/>
  <c r="BZ27" i="1"/>
  <c r="BZ77" i="1"/>
  <c r="BZ37" i="1"/>
  <c r="BZ57" i="1"/>
  <c r="BZ17" i="1"/>
  <c r="CH8" i="1"/>
  <c r="B22" i="9"/>
  <c r="AJ39" i="13"/>
  <c r="T48" i="16"/>
  <c r="T49" i="16" s="1"/>
  <c r="T53" i="16" s="1"/>
  <c r="T55" i="16" s="1"/>
  <c r="AJ19" i="13"/>
  <c r="B25" i="1"/>
  <c r="B114" i="1" s="1"/>
  <c r="H119" i="1" s="1"/>
  <c r="BY119" i="1" s="1"/>
  <c r="I20" i="13"/>
  <c r="U19" i="13" s="1"/>
  <c r="U48" i="16"/>
  <c r="U52" i="16" s="1"/>
  <c r="U54" i="16" s="1"/>
  <c r="U32" i="16" s="1"/>
  <c r="U57" i="16" s="1"/>
  <c r="J26" i="16" s="1"/>
  <c r="V48" i="16"/>
  <c r="V49" i="16" s="1"/>
  <c r="V53" i="16" s="1"/>
  <c r="I15" i="13"/>
  <c r="U16" i="13" s="1"/>
  <c r="C6" i="14"/>
  <c r="AJ14" i="13"/>
  <c r="I38" i="13"/>
  <c r="AI37" i="13" s="1"/>
  <c r="B54" i="9"/>
  <c r="BY159" i="1"/>
  <c r="S48" i="16"/>
  <c r="S49" i="16" s="1"/>
  <c r="S53" i="16" s="1"/>
  <c r="R48" i="16"/>
  <c r="R49" i="16" s="1"/>
  <c r="R53" i="16" s="1"/>
  <c r="R55" i="16" s="1"/>
  <c r="B38" i="9"/>
  <c r="H70" i="1"/>
  <c r="H67" i="1" s="1"/>
  <c r="I28" i="13"/>
  <c r="U30" i="13" s="1"/>
  <c r="B15" i="1"/>
  <c r="H20" i="1" s="1"/>
  <c r="P31" i="16"/>
  <c r="P51" i="16" s="1"/>
  <c r="I18" i="13"/>
  <c r="U20" i="13" s="1"/>
  <c r="C18" i="14"/>
  <c r="I25" i="13"/>
  <c r="U26" i="13" s="1"/>
  <c r="I23" i="13"/>
  <c r="B30" i="9"/>
  <c r="B62" i="9"/>
  <c r="I45" i="13"/>
  <c r="AJ44" i="13"/>
  <c r="I43" i="13"/>
  <c r="B35" i="1"/>
  <c r="B75" i="1"/>
  <c r="C24" i="14"/>
  <c r="I13" i="13"/>
  <c r="AJ29" i="13"/>
  <c r="I30" i="13"/>
  <c r="P48" i="16"/>
  <c r="P52" i="16" s="1"/>
  <c r="Q48" i="16"/>
  <c r="Q49" i="16" s="1"/>
  <c r="Q53" i="16" s="1"/>
  <c r="H50" i="1"/>
  <c r="B134" i="1"/>
  <c r="H139" i="1" s="1"/>
  <c r="K160" i="1"/>
  <c r="BY158" i="1" s="1"/>
  <c r="BZ158" i="1" s="1"/>
  <c r="CA158" i="1" s="1"/>
  <c r="CB158" i="1" s="1"/>
  <c r="CC158" i="1" s="1"/>
  <c r="H156" i="1"/>
  <c r="E159" i="1"/>
  <c r="E156" i="1"/>
  <c r="B55" i="1"/>
  <c r="I33" i="13"/>
  <c r="B46" i="9"/>
  <c r="AJ34" i="13"/>
  <c r="I35" i="13"/>
  <c r="S55" i="16" l="1"/>
  <c r="BZ126" i="1"/>
  <c r="BZ136" i="1"/>
  <c r="BZ166" i="1"/>
  <c r="CA126" i="1"/>
  <c r="I65" i="1"/>
  <c r="I243" i="1" s="1"/>
  <c r="B243" i="1" s="1"/>
  <c r="H248" i="1" s="1"/>
  <c r="U41" i="13"/>
  <c r="U39" i="13"/>
  <c r="AI39" i="13"/>
  <c r="V55" i="16"/>
  <c r="Q55" i="16"/>
  <c r="S52" i="16"/>
  <c r="S54" i="16" s="1"/>
  <c r="S32" i="16" s="1"/>
  <c r="S57" i="16" s="1"/>
  <c r="J24" i="16" s="1"/>
  <c r="U21" i="13"/>
  <c r="B40" i="13"/>
  <c r="I25" i="1"/>
  <c r="I114" i="1" s="1"/>
  <c r="AI19" i="13"/>
  <c r="H30" i="1"/>
  <c r="H27" i="1" s="1"/>
  <c r="CB67" i="1"/>
  <c r="CB27" i="1"/>
  <c r="CB77" i="1"/>
  <c r="CB37" i="1"/>
  <c r="CB47" i="1"/>
  <c r="CB57" i="1"/>
  <c r="CB17" i="1"/>
  <c r="U49" i="16"/>
  <c r="U53" i="16" s="1"/>
  <c r="U55" i="16" s="1"/>
  <c r="V52" i="16"/>
  <c r="V54" i="16" s="1"/>
  <c r="V32" i="16" s="1"/>
  <c r="V57" i="16" s="1"/>
  <c r="K120" i="1"/>
  <c r="BY118" i="1" s="1"/>
  <c r="BZ118" i="1" s="1"/>
  <c r="CA118" i="1" s="1"/>
  <c r="CB118" i="1" s="1"/>
  <c r="CC118" i="1" s="1"/>
  <c r="I15" i="1"/>
  <c r="I104" i="1" s="1"/>
  <c r="U14" i="13"/>
  <c r="T52" i="16"/>
  <c r="T54" i="16" s="1"/>
  <c r="T32" i="16" s="1"/>
  <c r="T57" i="16" s="1"/>
  <c r="J25" i="16" s="1"/>
  <c r="N33" i="13" s="1"/>
  <c r="K205" i="1"/>
  <c r="F211" i="1" s="1"/>
  <c r="K195" i="1"/>
  <c r="BV259" i="1" s="1"/>
  <c r="U38" i="13"/>
  <c r="K67" i="1"/>
  <c r="K156" i="1" s="1"/>
  <c r="E116" i="1"/>
  <c r="E119" i="1"/>
  <c r="R52" i="16"/>
  <c r="R54" i="16" s="1"/>
  <c r="R32" i="16" s="1"/>
  <c r="R57" i="16" s="1"/>
  <c r="R58" i="16" s="1"/>
  <c r="H116" i="1"/>
  <c r="F21" i="13"/>
  <c r="F14" i="13"/>
  <c r="AI14" i="13"/>
  <c r="K71" i="1"/>
  <c r="BY69" i="1" s="1"/>
  <c r="BZ69" i="1" s="1"/>
  <c r="CA69" i="1" s="1"/>
  <c r="CB69" i="1" s="1"/>
  <c r="CC69" i="1" s="1"/>
  <c r="P54" i="16"/>
  <c r="P32" i="16" s="1"/>
  <c r="P57" i="16" s="1"/>
  <c r="J21" i="16" s="1"/>
  <c r="E67" i="1"/>
  <c r="E70" i="1"/>
  <c r="K21" i="1"/>
  <c r="BY19" i="1" s="1"/>
  <c r="BZ19" i="1" s="1"/>
  <c r="CA19" i="1" s="1"/>
  <c r="CB19" i="1" s="1"/>
  <c r="CC19" i="1" s="1"/>
  <c r="BY20" i="1"/>
  <c r="BZ20" i="1" s="1"/>
  <c r="U40" i="13"/>
  <c r="U37" i="13"/>
  <c r="F39" i="13"/>
  <c r="BZ159" i="1"/>
  <c r="BY70" i="1"/>
  <c r="BY50" i="1"/>
  <c r="BY139" i="1"/>
  <c r="BZ119" i="1"/>
  <c r="E20" i="1"/>
  <c r="F17" i="13"/>
  <c r="B104" i="1"/>
  <c r="H109" i="1" s="1"/>
  <c r="U22" i="13"/>
  <c r="K47" i="1"/>
  <c r="F53" i="1" s="1"/>
  <c r="BV264" i="1"/>
  <c r="H17" i="1"/>
  <c r="AI27" i="13"/>
  <c r="B30" i="13" s="1"/>
  <c r="U28" i="13"/>
  <c r="E17" i="1"/>
  <c r="U17" i="13"/>
  <c r="F251" i="1"/>
  <c r="AI24" i="13"/>
  <c r="F26" i="13"/>
  <c r="F22" i="13"/>
  <c r="U18" i="13"/>
  <c r="AI17" i="13"/>
  <c r="B20" i="13" s="1"/>
  <c r="K27" i="1"/>
  <c r="P49" i="16"/>
  <c r="P53" i="16" s="1"/>
  <c r="P55" i="16" s="1"/>
  <c r="F44" i="13"/>
  <c r="U45" i="13"/>
  <c r="U43" i="13"/>
  <c r="K77" i="1"/>
  <c r="AI42" i="13"/>
  <c r="B45" i="13" s="1"/>
  <c r="U25" i="13"/>
  <c r="K37" i="1"/>
  <c r="F27" i="13"/>
  <c r="AI22" i="13"/>
  <c r="B25" i="13" s="1"/>
  <c r="U23" i="13"/>
  <c r="F24" i="13"/>
  <c r="I154" i="1"/>
  <c r="AH243" i="1"/>
  <c r="F31" i="13"/>
  <c r="K215" i="1"/>
  <c r="AH213" i="1" s="1"/>
  <c r="F42" i="13"/>
  <c r="I75" i="1"/>
  <c r="U44" i="13"/>
  <c r="U46" i="13"/>
  <c r="AI44" i="13"/>
  <c r="K255" i="1"/>
  <c r="U15" i="13"/>
  <c r="B32" i="14"/>
  <c r="AI12" i="13"/>
  <c r="B15" i="13" s="1"/>
  <c r="K17" i="1"/>
  <c r="U13" i="13"/>
  <c r="H40" i="1"/>
  <c r="B124" i="1"/>
  <c r="H129" i="1" s="1"/>
  <c r="U24" i="13"/>
  <c r="I35" i="1"/>
  <c r="I213" i="1" s="1"/>
  <c r="B213" i="1" s="1"/>
  <c r="H218" i="1" s="1"/>
  <c r="U12" i="13"/>
  <c r="K225" i="1"/>
  <c r="I45" i="1"/>
  <c r="U31" i="13"/>
  <c r="U29" i="13"/>
  <c r="U27" i="13"/>
  <c r="AI29" i="13"/>
  <c r="F29" i="13"/>
  <c r="B164" i="1"/>
  <c r="H169" i="1" s="1"/>
  <c r="H80" i="1"/>
  <c r="F46" i="13"/>
  <c r="U42" i="13"/>
  <c r="Q52" i="16"/>
  <c r="Q54" i="16" s="1"/>
  <c r="Q32" i="16" s="1"/>
  <c r="Q57" i="16" s="1"/>
  <c r="J22" i="16" s="1"/>
  <c r="H60" i="1"/>
  <c r="B144" i="1"/>
  <c r="H149" i="1" s="1"/>
  <c r="E139" i="1"/>
  <c r="E136" i="1"/>
  <c r="H136" i="1"/>
  <c r="K140" i="1"/>
  <c r="BY138" i="1" s="1"/>
  <c r="BZ138" i="1" s="1"/>
  <c r="CA138" i="1" s="1"/>
  <c r="CB138" i="1" s="1"/>
  <c r="CC138" i="1" s="1"/>
  <c r="K51" i="1"/>
  <c r="BY49" i="1" s="1"/>
  <c r="BZ49" i="1" s="1"/>
  <c r="CA49" i="1" s="1"/>
  <c r="CB49" i="1" s="1"/>
  <c r="CC49" i="1" s="1"/>
  <c r="E47" i="1"/>
  <c r="E50" i="1"/>
  <c r="H47" i="1"/>
  <c r="F41" i="13"/>
  <c r="I55" i="1"/>
  <c r="U34" i="13"/>
  <c r="AI34" i="13"/>
  <c r="F36" i="13"/>
  <c r="K235" i="1"/>
  <c r="U36" i="13"/>
  <c r="F32" i="13"/>
  <c r="K57" i="1"/>
  <c r="U35" i="13"/>
  <c r="F34" i="13"/>
  <c r="F37" i="13"/>
  <c r="U32" i="13"/>
  <c r="U33" i="13"/>
  <c r="AI32" i="13"/>
  <c r="B35" i="13" s="1"/>
  <c r="N13" i="13" l="1"/>
  <c r="AK14" i="13" s="1"/>
  <c r="Q12" i="13" s="1"/>
  <c r="I203" i="1"/>
  <c r="B203" i="1" s="1"/>
  <c r="H208" i="1" s="1"/>
  <c r="BY217" i="1" s="1"/>
  <c r="S58" i="16"/>
  <c r="Q62" i="16"/>
  <c r="U58" i="16"/>
  <c r="BV81" i="1"/>
  <c r="K70" i="1"/>
  <c r="BY68" i="1" s="1"/>
  <c r="BZ68" i="1" s="1"/>
  <c r="CA68" i="1" s="1"/>
  <c r="N28" i="13"/>
  <c r="R29" i="13" s="1"/>
  <c r="C47" i="1" s="1"/>
  <c r="C136" i="1" s="1"/>
  <c r="AF136" i="1" s="1"/>
  <c r="E30" i="1"/>
  <c r="K30" i="1"/>
  <c r="BY28" i="1" s="1"/>
  <c r="BZ28" i="1" s="1"/>
  <c r="CA28" i="1" s="1"/>
  <c r="AH65" i="1"/>
  <c r="BY30" i="1"/>
  <c r="F73" i="1"/>
  <c r="K31" i="1"/>
  <c r="BY29" i="1" s="1"/>
  <c r="BZ29" i="1" s="1"/>
  <c r="CA29" i="1" s="1"/>
  <c r="CB29" i="1" s="1"/>
  <c r="CC29" i="1" s="1"/>
  <c r="J27" i="16"/>
  <c r="V58" i="16"/>
  <c r="BV260" i="1"/>
  <c r="AH203" i="1"/>
  <c r="E27" i="1"/>
  <c r="I193" i="1"/>
  <c r="B193" i="1" s="1"/>
  <c r="H198" i="1" s="1"/>
  <c r="BY207" i="1" s="1"/>
  <c r="BZ207" i="1" s="1"/>
  <c r="T58" i="16"/>
  <c r="J23" i="16"/>
  <c r="N23" i="13" s="1"/>
  <c r="AK24" i="13" s="1"/>
  <c r="Q22" i="13" s="1"/>
  <c r="AH193" i="1"/>
  <c r="F201" i="1"/>
  <c r="K50" i="1"/>
  <c r="BY48" i="1" s="1"/>
  <c r="BZ48" i="1" s="1"/>
  <c r="CA48" i="1" s="1"/>
  <c r="AH45" i="1"/>
  <c r="K136" i="1"/>
  <c r="F142" i="1" s="1"/>
  <c r="BV79" i="1"/>
  <c r="CA20" i="1"/>
  <c r="E109" i="1"/>
  <c r="BY109" i="1"/>
  <c r="BZ109" i="1" s="1"/>
  <c r="BY80" i="1"/>
  <c r="K159" i="1"/>
  <c r="BY157" i="1" s="1"/>
  <c r="BY169" i="1"/>
  <c r="BZ70" i="1"/>
  <c r="CA159" i="1"/>
  <c r="AK34" i="13"/>
  <c r="Q32" i="13" s="1"/>
  <c r="R34" i="13"/>
  <c r="C57" i="1" s="1"/>
  <c r="C146" i="1" s="1"/>
  <c r="BY60" i="1"/>
  <c r="BY149" i="1"/>
  <c r="BZ139" i="1"/>
  <c r="BZ50" i="1"/>
  <c r="BY129" i="1"/>
  <c r="BY40" i="1"/>
  <c r="CA119" i="1"/>
  <c r="K110" i="1"/>
  <c r="BY108" i="1" s="1"/>
  <c r="BZ108" i="1" s="1"/>
  <c r="CA108" i="1" s="1"/>
  <c r="CB108" i="1" s="1"/>
  <c r="CC108" i="1" s="1"/>
  <c r="K116" i="1"/>
  <c r="AH114" i="1" s="1"/>
  <c r="BV261" i="1"/>
  <c r="F33" i="1"/>
  <c r="S94" i="1"/>
  <c r="E97" i="1" s="1"/>
  <c r="H106" i="1"/>
  <c r="E106" i="1"/>
  <c r="T191" i="1"/>
  <c r="I124" i="1"/>
  <c r="AH25" i="1"/>
  <c r="F221" i="1"/>
  <c r="BV77" i="1"/>
  <c r="I134" i="1"/>
  <c r="I223" i="1"/>
  <c r="B223" i="1" s="1"/>
  <c r="H228" i="1" s="1"/>
  <c r="K41" i="1"/>
  <c r="BY39" i="1" s="1"/>
  <c r="BZ39" i="1" s="1"/>
  <c r="CA39" i="1" s="1"/>
  <c r="CB39" i="1" s="1"/>
  <c r="CC39" i="1" s="1"/>
  <c r="E37" i="1"/>
  <c r="K40" i="1"/>
  <c r="BY38" i="1" s="1"/>
  <c r="BZ38" i="1" s="1"/>
  <c r="H37" i="1"/>
  <c r="E40" i="1"/>
  <c r="E77" i="1"/>
  <c r="K81" i="1"/>
  <c r="BY79" i="1" s="1"/>
  <c r="BZ79" i="1" s="1"/>
  <c r="CA79" i="1" s="1"/>
  <c r="CB79" i="1" s="1"/>
  <c r="CC79" i="1" s="1"/>
  <c r="K80" i="1"/>
  <c r="BY78" i="1" s="1"/>
  <c r="BZ78" i="1" s="1"/>
  <c r="E80" i="1"/>
  <c r="H77" i="1"/>
  <c r="BV262" i="1"/>
  <c r="C225" i="1"/>
  <c r="F231" i="1"/>
  <c r="AH223" i="1"/>
  <c r="BY257" i="1"/>
  <c r="C251" i="1"/>
  <c r="K251" i="1" s="1"/>
  <c r="O247" i="1"/>
  <c r="R248" i="1"/>
  <c r="K248" i="1"/>
  <c r="BY255" i="1" s="1"/>
  <c r="BZ255" i="1" s="1"/>
  <c r="CA255" i="1" s="1"/>
  <c r="CB255" i="1" s="1"/>
  <c r="K249" i="1"/>
  <c r="BY256" i="1" s="1"/>
  <c r="BZ256" i="1" s="1"/>
  <c r="CA256" i="1" s="1"/>
  <c r="CB256" i="1" s="1"/>
  <c r="E248" i="1"/>
  <c r="U245" i="1"/>
  <c r="AF248" i="1"/>
  <c r="E245" i="1"/>
  <c r="O248" i="1"/>
  <c r="H245" i="1"/>
  <c r="BV78" i="1"/>
  <c r="AH35" i="1"/>
  <c r="K126" i="1"/>
  <c r="K129" i="1" s="1"/>
  <c r="BY127" i="1" s="1"/>
  <c r="BZ127" i="1" s="1"/>
  <c r="F43" i="1"/>
  <c r="C215" i="1"/>
  <c r="H166" i="1"/>
  <c r="E169" i="1"/>
  <c r="E166" i="1"/>
  <c r="K170" i="1"/>
  <c r="BY168" i="1" s="1"/>
  <c r="BZ168" i="1" s="1"/>
  <c r="CA168" i="1" s="1"/>
  <c r="CB168" i="1" s="1"/>
  <c r="CC168" i="1" s="1"/>
  <c r="F83" i="1"/>
  <c r="AH75" i="1"/>
  <c r="K166" i="1"/>
  <c r="K169" i="1" s="1"/>
  <c r="BY167" i="1" s="1"/>
  <c r="BZ167" i="1" s="1"/>
  <c r="BV82" i="1"/>
  <c r="K130" i="1"/>
  <c r="BY128" i="1" s="1"/>
  <c r="BZ128" i="1" s="1"/>
  <c r="CA128" i="1" s="1"/>
  <c r="CB128" i="1" s="1"/>
  <c r="CC128" i="1" s="1"/>
  <c r="E129" i="1"/>
  <c r="E126" i="1"/>
  <c r="H126" i="1"/>
  <c r="AH15" i="1"/>
  <c r="BV76" i="1"/>
  <c r="F23" i="1"/>
  <c r="K106" i="1"/>
  <c r="K20" i="1"/>
  <c r="BY18" i="1" s="1"/>
  <c r="BV265" i="1"/>
  <c r="F261" i="1"/>
  <c r="C255" i="1"/>
  <c r="AH253" i="1"/>
  <c r="I253" i="1"/>
  <c r="B253" i="1" s="1"/>
  <c r="H258" i="1" s="1"/>
  <c r="I164" i="1"/>
  <c r="P58" i="16"/>
  <c r="Q58" i="16"/>
  <c r="E215" i="1"/>
  <c r="K218" i="1"/>
  <c r="BY225" i="1" s="1"/>
  <c r="BZ225" i="1" s="1"/>
  <c r="CA225" i="1" s="1"/>
  <c r="CB225" i="1" s="1"/>
  <c r="R218" i="1"/>
  <c r="E218" i="1"/>
  <c r="U215" i="1"/>
  <c r="BY227" i="1"/>
  <c r="C221" i="1"/>
  <c r="AF218" i="1"/>
  <c r="H215" i="1"/>
  <c r="O217" i="1"/>
  <c r="O218" i="1"/>
  <c r="K219" i="1"/>
  <c r="BY226" i="1" s="1"/>
  <c r="BZ226" i="1" s="1"/>
  <c r="CA226" i="1" s="1"/>
  <c r="CB226" i="1" s="1"/>
  <c r="E57" i="1"/>
  <c r="E60" i="1"/>
  <c r="K61" i="1"/>
  <c r="BY59" i="1" s="1"/>
  <c r="BZ59" i="1" s="1"/>
  <c r="CA59" i="1" s="1"/>
  <c r="CB59" i="1" s="1"/>
  <c r="CC59" i="1" s="1"/>
  <c r="H57" i="1"/>
  <c r="K60" i="1"/>
  <c r="BY58" i="1" s="1"/>
  <c r="BZ58" i="1" s="1"/>
  <c r="S5" i="1"/>
  <c r="E8" i="1" s="1"/>
  <c r="BV170" i="1"/>
  <c r="F162" i="1"/>
  <c r="AH154" i="1"/>
  <c r="F241" i="1"/>
  <c r="C235" i="1"/>
  <c r="BV263" i="1"/>
  <c r="AH233" i="1"/>
  <c r="I144" i="1"/>
  <c r="I233" i="1"/>
  <c r="B233" i="1" s="1"/>
  <c r="H238" i="1" s="1"/>
  <c r="BV80" i="1"/>
  <c r="F63" i="1"/>
  <c r="AH55" i="1"/>
  <c r="K146" i="1"/>
  <c r="K149" i="1" s="1"/>
  <c r="BY147" i="1" s="1"/>
  <c r="BZ147" i="1" s="1"/>
  <c r="T13" i="1"/>
  <c r="E146" i="1"/>
  <c r="K150" i="1"/>
  <c r="BY148" i="1" s="1"/>
  <c r="BZ148" i="1" s="1"/>
  <c r="CA148" i="1" s="1"/>
  <c r="CB148" i="1" s="1"/>
  <c r="CC148" i="1" s="1"/>
  <c r="H146" i="1"/>
  <c r="E149" i="1"/>
  <c r="V62" i="16" l="1"/>
  <c r="U62" i="16"/>
  <c r="E205" i="1"/>
  <c r="T62" i="16"/>
  <c r="K209" i="1"/>
  <c r="BY216" i="1" s="1"/>
  <c r="BZ216" i="1" s="1"/>
  <c r="CA216" i="1" s="1"/>
  <c r="CB216" i="1" s="1"/>
  <c r="H205" i="1"/>
  <c r="K208" i="1"/>
  <c r="BY215" i="1" s="1"/>
  <c r="BZ215" i="1" s="1"/>
  <c r="CA215" i="1" s="1"/>
  <c r="CB215" i="1" s="1"/>
  <c r="E208" i="1"/>
  <c r="BZ217" i="1"/>
  <c r="CA217" i="1" s="1"/>
  <c r="BZ32" i="1"/>
  <c r="BY71" i="1"/>
  <c r="BY31" i="1"/>
  <c r="BZ72" i="1"/>
  <c r="AF47" i="1"/>
  <c r="AK29" i="13"/>
  <c r="Q27" i="13" s="1"/>
  <c r="R47" i="1"/>
  <c r="AI26" i="14"/>
  <c r="CA78" i="1"/>
  <c r="BZ82" i="1"/>
  <c r="N43" i="13"/>
  <c r="R44" i="13" s="1"/>
  <c r="C77" i="1" s="1"/>
  <c r="N38" i="13"/>
  <c r="CA167" i="1"/>
  <c r="BZ171" i="1"/>
  <c r="CB68" i="1"/>
  <c r="CA72" i="1"/>
  <c r="E198" i="1"/>
  <c r="BZ30" i="1"/>
  <c r="CA30" i="1" s="1"/>
  <c r="R24" i="13"/>
  <c r="C37" i="1" s="1"/>
  <c r="C126" i="1" s="1"/>
  <c r="AF126" i="1" s="1"/>
  <c r="BY51" i="1"/>
  <c r="K199" i="1"/>
  <c r="BY206" i="1" s="1"/>
  <c r="BZ206" i="1" s="1"/>
  <c r="CA206" i="1" s="1"/>
  <c r="CB206" i="1" s="1"/>
  <c r="H195" i="1"/>
  <c r="E195" i="1"/>
  <c r="K198" i="1"/>
  <c r="BY205" i="1" s="1"/>
  <c r="BZ205" i="1" s="1"/>
  <c r="CA205" i="1" s="1"/>
  <c r="CB205" i="1" s="1"/>
  <c r="K139" i="1"/>
  <c r="BY137" i="1" s="1"/>
  <c r="BZ137" i="1" s="1"/>
  <c r="CA137" i="1" s="1"/>
  <c r="AI20" i="14"/>
  <c r="N18" i="13"/>
  <c r="CA147" i="1"/>
  <c r="BZ151" i="1"/>
  <c r="AH134" i="1"/>
  <c r="BZ52" i="1"/>
  <c r="CA58" i="1"/>
  <c r="BZ62" i="1"/>
  <c r="BV168" i="1"/>
  <c r="R136" i="1"/>
  <c r="CB48" i="1"/>
  <c r="CA52" i="1"/>
  <c r="CA38" i="1"/>
  <c r="BZ42" i="1"/>
  <c r="CA127" i="1"/>
  <c r="BZ131" i="1"/>
  <c r="CB28" i="1"/>
  <c r="CA32" i="1"/>
  <c r="CA109" i="1"/>
  <c r="BY21" i="1"/>
  <c r="BZ18" i="1"/>
  <c r="BZ22" i="1" s="1"/>
  <c r="CB20" i="1"/>
  <c r="BZ157" i="1"/>
  <c r="BZ161" i="1" s="1"/>
  <c r="BY160" i="1"/>
  <c r="BZ80" i="1"/>
  <c r="BY81" i="1"/>
  <c r="BY170" i="1"/>
  <c r="BZ169" i="1"/>
  <c r="BZ71" i="1"/>
  <c r="CA70" i="1"/>
  <c r="CB159" i="1"/>
  <c r="BZ149" i="1"/>
  <c r="BY150" i="1"/>
  <c r="BY61" i="1"/>
  <c r="BZ60" i="1"/>
  <c r="BZ51" i="1"/>
  <c r="CA50" i="1"/>
  <c r="CA139" i="1"/>
  <c r="BY41" i="1"/>
  <c r="BZ40" i="1"/>
  <c r="BZ129" i="1"/>
  <c r="BY130" i="1"/>
  <c r="CB119" i="1"/>
  <c r="K11" i="1"/>
  <c r="K8" i="1"/>
  <c r="F122" i="1"/>
  <c r="K119" i="1"/>
  <c r="BY117" i="1" s="1"/>
  <c r="BV166" i="1"/>
  <c r="K221" i="1"/>
  <c r="K186" i="1"/>
  <c r="BY195" i="1" s="1"/>
  <c r="BZ195" i="1" s="1"/>
  <c r="R215" i="1"/>
  <c r="M214" i="1" s="1"/>
  <c r="AI8" i="14"/>
  <c r="R14" i="13"/>
  <c r="C17" i="1" s="1"/>
  <c r="R62" i="16"/>
  <c r="BV167" i="1"/>
  <c r="F132" i="1"/>
  <c r="AH124" i="1"/>
  <c r="AF215" i="1"/>
  <c r="AF214" i="1" s="1"/>
  <c r="P247" i="1"/>
  <c r="N248" i="1"/>
  <c r="F112" i="1"/>
  <c r="BV165" i="1"/>
  <c r="AH104" i="1"/>
  <c r="K109" i="1"/>
  <c r="BY107" i="1" s="1"/>
  <c r="AF245" i="1"/>
  <c r="AF244" i="1" s="1"/>
  <c r="R245" i="1"/>
  <c r="AF228" i="1"/>
  <c r="H225" i="1"/>
  <c r="E225" i="1"/>
  <c r="BY237" i="1"/>
  <c r="O228" i="1"/>
  <c r="O227" i="1"/>
  <c r="K229" i="1"/>
  <c r="BY236" i="1" s="1"/>
  <c r="BZ236" i="1" s="1"/>
  <c r="CA236" i="1" s="1"/>
  <c r="CB236" i="1" s="1"/>
  <c r="R228" i="1"/>
  <c r="C231" i="1"/>
  <c r="K231" i="1" s="1"/>
  <c r="K228" i="1"/>
  <c r="BY235" i="1" s="1"/>
  <c r="BZ235" i="1" s="1"/>
  <c r="CA235" i="1" s="1"/>
  <c r="CB235" i="1" s="1"/>
  <c r="E228" i="1"/>
  <c r="U225" i="1"/>
  <c r="E255" i="1"/>
  <c r="O258" i="1"/>
  <c r="K259" i="1"/>
  <c r="BY264" i="1" s="1"/>
  <c r="BZ264" i="1" s="1"/>
  <c r="CA264" i="1" s="1"/>
  <c r="CB264" i="1" s="1"/>
  <c r="E258" i="1"/>
  <c r="O257" i="1"/>
  <c r="C261" i="1"/>
  <c r="K261" i="1" s="1"/>
  <c r="H255" i="1"/>
  <c r="AF258" i="1"/>
  <c r="R258" i="1"/>
  <c r="BY265" i="1"/>
  <c r="K258" i="1"/>
  <c r="BY263" i="1" s="1"/>
  <c r="BZ263" i="1" s="1"/>
  <c r="CA263" i="1" s="1"/>
  <c r="CB263" i="1" s="1"/>
  <c r="U255" i="1"/>
  <c r="F172" i="1"/>
  <c r="AH164" i="1"/>
  <c r="BV171" i="1"/>
  <c r="K189" i="1"/>
  <c r="BZ257" i="1"/>
  <c r="BY258" i="1"/>
  <c r="AF146" i="1"/>
  <c r="R146" i="1"/>
  <c r="BV83" i="1"/>
  <c r="BV266" i="1"/>
  <c r="R57" i="1"/>
  <c r="AF57" i="1"/>
  <c r="BY228" i="1"/>
  <c r="BZ227" i="1"/>
  <c r="F152" i="1"/>
  <c r="AH144" i="1"/>
  <c r="BV169" i="1"/>
  <c r="T102" i="1"/>
  <c r="R238" i="1"/>
  <c r="H235" i="1"/>
  <c r="O237" i="1"/>
  <c r="E235" i="1"/>
  <c r="K238" i="1"/>
  <c r="BY245" i="1" s="1"/>
  <c r="BZ245" i="1" s="1"/>
  <c r="CA245" i="1" s="1"/>
  <c r="CB245" i="1" s="1"/>
  <c r="AF238" i="1"/>
  <c r="C241" i="1"/>
  <c r="K241" i="1" s="1"/>
  <c r="BY247" i="1"/>
  <c r="O238" i="1"/>
  <c r="U235" i="1"/>
  <c r="K239" i="1"/>
  <c r="BY246" i="1" s="1"/>
  <c r="BZ246" i="1" s="1"/>
  <c r="CA246" i="1" s="1"/>
  <c r="CB246" i="1" s="1"/>
  <c r="E238" i="1"/>
  <c r="S183" i="1"/>
  <c r="E186" i="1" s="1"/>
  <c r="P217" i="1"/>
  <c r="N218" i="1"/>
  <c r="CA207" i="1"/>
  <c r="CA218" i="1" l="1"/>
  <c r="BZ218" i="1"/>
  <c r="BY218" i="1"/>
  <c r="O65" i="16"/>
  <c r="R37" i="1"/>
  <c r="BZ140" i="1"/>
  <c r="BZ141" i="1"/>
  <c r="BZ31" i="1"/>
  <c r="AK44" i="13"/>
  <c r="Q42" i="13" s="1"/>
  <c r="R126" i="1"/>
  <c r="C166" i="1"/>
  <c r="R166" i="1" s="1"/>
  <c r="R77" i="1"/>
  <c r="R39" i="13"/>
  <c r="C67" i="1" s="1"/>
  <c r="AK39" i="13"/>
  <c r="Q37" i="13" s="1"/>
  <c r="CB167" i="1"/>
  <c r="CA171" i="1"/>
  <c r="CB78" i="1"/>
  <c r="CA82" i="1"/>
  <c r="CC68" i="1"/>
  <c r="CC72" i="1" s="1"/>
  <c r="CB72" i="1"/>
  <c r="AF37" i="1"/>
  <c r="AF77" i="1"/>
  <c r="AF166" i="1"/>
  <c r="BY208" i="1"/>
  <c r="BZ208" i="1"/>
  <c r="R17" i="1"/>
  <c r="C195" i="1"/>
  <c r="BY140" i="1"/>
  <c r="AI14" i="14"/>
  <c r="AK19" i="13"/>
  <c r="Q17" i="13" s="1"/>
  <c r="R19" i="13"/>
  <c r="C27" i="1" s="1"/>
  <c r="C205" i="1" s="1"/>
  <c r="CB58" i="1"/>
  <c r="CA62" i="1"/>
  <c r="CB147" i="1"/>
  <c r="CA151" i="1"/>
  <c r="CC48" i="1"/>
  <c r="CC52" i="1" s="1"/>
  <c r="CB52" i="1"/>
  <c r="CB137" i="1"/>
  <c r="CA141" i="1"/>
  <c r="CB217" i="1"/>
  <c r="CB218" i="1" s="1"/>
  <c r="CB127" i="1"/>
  <c r="CA131" i="1"/>
  <c r="U214" i="1"/>
  <c r="U216" i="1" s="1"/>
  <c r="U217" i="1" s="1"/>
  <c r="CB38" i="1"/>
  <c r="CA42" i="1"/>
  <c r="CC28" i="1"/>
  <c r="CC32" i="1" s="1"/>
  <c r="CB32" i="1"/>
  <c r="CB109" i="1"/>
  <c r="CC20" i="1"/>
  <c r="CA18" i="1"/>
  <c r="CA22" i="1" s="1"/>
  <c r="BZ21" i="1"/>
  <c r="BY110" i="1"/>
  <c r="BZ107" i="1"/>
  <c r="BZ111" i="1" s="1"/>
  <c r="CA169" i="1"/>
  <c r="BZ170" i="1"/>
  <c r="CA80" i="1"/>
  <c r="BZ81" i="1"/>
  <c r="CA157" i="1"/>
  <c r="CA161" i="1" s="1"/>
  <c r="BZ160" i="1"/>
  <c r="CA71" i="1"/>
  <c r="CB70" i="1"/>
  <c r="CC159" i="1"/>
  <c r="BZ61" i="1"/>
  <c r="CA60" i="1"/>
  <c r="CA149" i="1"/>
  <c r="BZ150" i="1"/>
  <c r="CA51" i="1"/>
  <c r="CB50" i="1"/>
  <c r="CB139" i="1"/>
  <c r="CA140" i="1"/>
  <c r="CA129" i="1"/>
  <c r="BZ130" i="1"/>
  <c r="BZ117" i="1"/>
  <c r="BZ121" i="1" s="1"/>
  <c r="BY120" i="1"/>
  <c r="CA40" i="1"/>
  <c r="BZ41" i="1"/>
  <c r="CC119" i="1"/>
  <c r="CA31" i="1"/>
  <c r="CB30" i="1"/>
  <c r="K100" i="1"/>
  <c r="K97" i="1"/>
  <c r="BA213" i="1"/>
  <c r="O186" i="1"/>
  <c r="AF225" i="1"/>
  <c r="AF224" i="1" s="1"/>
  <c r="R255" i="1"/>
  <c r="BA253" i="1" s="1"/>
  <c r="C106" i="1"/>
  <c r="AF106" i="1" s="1"/>
  <c r="AF17" i="1"/>
  <c r="R235" i="1"/>
  <c r="U234" i="1" s="1"/>
  <c r="U236" i="1" s="1"/>
  <c r="U237" i="1" s="1"/>
  <c r="AH13" i="1"/>
  <c r="AH102" i="1" s="1"/>
  <c r="BZ265" i="1"/>
  <c r="BY266" i="1"/>
  <c r="R225" i="1"/>
  <c r="BZ237" i="1"/>
  <c r="BY238" i="1"/>
  <c r="U244" i="1"/>
  <c r="U246" i="1" s="1"/>
  <c r="U247" i="1" s="1"/>
  <c r="BA243" i="1"/>
  <c r="M244" i="1"/>
  <c r="CA257" i="1"/>
  <c r="BZ258" i="1"/>
  <c r="N258" i="1"/>
  <c r="P257" i="1"/>
  <c r="N228" i="1"/>
  <c r="P227" i="1"/>
  <c r="AF255" i="1"/>
  <c r="AF254" i="1" s="1"/>
  <c r="BY8" i="1"/>
  <c r="BZ8" i="1" s="1"/>
  <c r="CA8" i="1" s="1"/>
  <c r="N238" i="1"/>
  <c r="P237" i="1"/>
  <c r="BZ228" i="1"/>
  <c r="CA227" i="1"/>
  <c r="O8" i="1"/>
  <c r="BZ247" i="1"/>
  <c r="BY248" i="1"/>
  <c r="CA195" i="1"/>
  <c r="BZ197" i="1"/>
  <c r="AF235" i="1"/>
  <c r="AF234" i="1" s="1"/>
  <c r="BV172" i="1"/>
  <c r="CA208" i="1"/>
  <c r="CB207" i="1"/>
  <c r="CB208" i="1" s="1"/>
  <c r="G9" i="13" l="1"/>
  <c r="F9" i="13" s="1"/>
  <c r="K34" i="16"/>
  <c r="AF205" i="1"/>
  <c r="R205" i="1"/>
  <c r="CC78" i="1"/>
  <c r="CC82" i="1" s="1"/>
  <c r="CB82" i="1"/>
  <c r="C156" i="1"/>
  <c r="R67" i="1"/>
  <c r="AF67" i="1"/>
  <c r="CC167" i="1"/>
  <c r="CC171" i="1" s="1"/>
  <c r="CB171" i="1"/>
  <c r="R195" i="1"/>
  <c r="AF195" i="1"/>
  <c r="C116" i="1"/>
  <c r="R27" i="1"/>
  <c r="AF27" i="1"/>
  <c r="CC147" i="1"/>
  <c r="CC151" i="1" s="1"/>
  <c r="CB151" i="1"/>
  <c r="CC58" i="1"/>
  <c r="CC62" i="1" s="1"/>
  <c r="CB62" i="1"/>
  <c r="CC137" i="1"/>
  <c r="CC141" i="1" s="1"/>
  <c r="CB141" i="1"/>
  <c r="CC127" i="1"/>
  <c r="CC131" i="1" s="1"/>
  <c r="CB131" i="1"/>
  <c r="CC38" i="1"/>
  <c r="CC42" i="1" s="1"/>
  <c r="CB42" i="1"/>
  <c r="BA233" i="1"/>
  <c r="O80" i="1"/>
  <c r="O79" i="1"/>
  <c r="CA107" i="1"/>
  <c r="CA111" i="1" s="1"/>
  <c r="BZ110" i="1"/>
  <c r="CB18" i="1"/>
  <c r="CB22" i="1" s="1"/>
  <c r="CA21" i="1"/>
  <c r="CC109" i="1"/>
  <c r="O70" i="1"/>
  <c r="O69" i="1"/>
  <c r="CA81" i="1"/>
  <c r="CB80" i="1"/>
  <c r="CB157" i="1"/>
  <c r="CB161" i="1" s="1"/>
  <c r="CA160" i="1"/>
  <c r="CA170" i="1"/>
  <c r="CB169" i="1"/>
  <c r="CB71" i="1"/>
  <c r="CC70" i="1"/>
  <c r="O59" i="1"/>
  <c r="O60" i="1"/>
  <c r="CA150" i="1"/>
  <c r="CB149" i="1"/>
  <c r="M234" i="1"/>
  <c r="CA61" i="1"/>
  <c r="CB60" i="1"/>
  <c r="CB51" i="1"/>
  <c r="CC50" i="1"/>
  <c r="CC139" i="1"/>
  <c r="CB140" i="1"/>
  <c r="CA117" i="1"/>
  <c r="CA121" i="1" s="1"/>
  <c r="BZ120" i="1"/>
  <c r="CB40" i="1"/>
  <c r="CA41" i="1"/>
  <c r="CA130" i="1"/>
  <c r="CB129" i="1"/>
  <c r="CB31" i="1"/>
  <c r="CC30" i="1"/>
  <c r="R106" i="1"/>
  <c r="M254" i="1"/>
  <c r="U254" i="1"/>
  <c r="U256" i="1" s="1"/>
  <c r="U257" i="1" s="1"/>
  <c r="AH191" i="1"/>
  <c r="BZ238" i="1"/>
  <c r="CA237" i="1"/>
  <c r="CA265" i="1"/>
  <c r="BZ266" i="1"/>
  <c r="BZ10" i="1"/>
  <c r="CB257" i="1"/>
  <c r="CB258" i="1" s="1"/>
  <c r="CA258" i="1"/>
  <c r="BA223" i="1"/>
  <c r="M224" i="1"/>
  <c r="U224" i="1"/>
  <c r="U226" i="1" s="1"/>
  <c r="U227" i="1" s="1"/>
  <c r="CA10" i="1"/>
  <c r="CB8" i="1"/>
  <c r="CB10" i="1" s="1"/>
  <c r="BY97" i="1"/>
  <c r="BZ97" i="1" s="1"/>
  <c r="O97" i="1"/>
  <c r="CB195" i="1"/>
  <c r="CB197" i="1" s="1"/>
  <c r="CA197" i="1"/>
  <c r="BZ248" i="1"/>
  <c r="CA247" i="1"/>
  <c r="CA228" i="1"/>
  <c r="CB227" i="1"/>
  <c r="CB228" i="1" s="1"/>
  <c r="K38" i="14" l="1"/>
  <c r="D5" i="1"/>
  <c r="A5" i="9"/>
  <c r="AF156" i="1"/>
  <c r="R156" i="1"/>
  <c r="AF116" i="1"/>
  <c r="R116" i="1"/>
  <c r="CB107" i="1"/>
  <c r="CB111" i="1" s="1"/>
  <c r="CA110" i="1"/>
  <c r="CC18" i="1"/>
  <c r="CC22" i="1" s="1"/>
  <c r="CB21" i="1"/>
  <c r="R80" i="1"/>
  <c r="AF80" i="1"/>
  <c r="AF76" i="1" s="1"/>
  <c r="P79" i="1"/>
  <c r="N80" i="1"/>
  <c r="O169" i="1"/>
  <c r="O168" i="1"/>
  <c r="O159" i="1"/>
  <c r="O158" i="1"/>
  <c r="CC169" i="1"/>
  <c r="CB170" i="1"/>
  <c r="CB81" i="1"/>
  <c r="CC80" i="1"/>
  <c r="CC157" i="1"/>
  <c r="CC161" i="1" s="1"/>
  <c r="CB160" i="1"/>
  <c r="AF70" i="1"/>
  <c r="AF66" i="1" s="1"/>
  <c r="N70" i="1"/>
  <c r="P69" i="1"/>
  <c r="R70" i="1"/>
  <c r="R60" i="1"/>
  <c r="AF60" i="1"/>
  <c r="AF56" i="1" s="1"/>
  <c r="P59" i="1"/>
  <c r="N60" i="1"/>
  <c r="O149" i="1"/>
  <c r="O148" i="1"/>
  <c r="CB150" i="1"/>
  <c r="CC149" i="1"/>
  <c r="CC60" i="1"/>
  <c r="CB61" i="1"/>
  <c r="CC40" i="1"/>
  <c r="CB41" i="1"/>
  <c r="CC129" i="1"/>
  <c r="CB130" i="1"/>
  <c r="CB117" i="1"/>
  <c r="CB121" i="1" s="1"/>
  <c r="CA120" i="1"/>
  <c r="CB237" i="1"/>
  <c r="CB238" i="1" s="1"/>
  <c r="CA238" i="1"/>
  <c r="CB265" i="1"/>
  <c r="CB266" i="1" s="1"/>
  <c r="CA266" i="1"/>
  <c r="CA248" i="1"/>
  <c r="CB247" i="1"/>
  <c r="CB248" i="1" s="1"/>
  <c r="CA97" i="1"/>
  <c r="BZ99" i="1"/>
  <c r="O40" i="1" l="1"/>
  <c r="P39" i="1" s="1"/>
  <c r="O50" i="1"/>
  <c r="O49" i="1"/>
  <c r="AF40" i="1"/>
  <c r="AF36" i="1" s="1"/>
  <c r="R40" i="1"/>
  <c r="BA35" i="1" s="1"/>
  <c r="O29" i="1"/>
  <c r="O39" i="1"/>
  <c r="O30" i="1"/>
  <c r="D183" i="1"/>
  <c r="E11" i="1"/>
  <c r="D94" i="1"/>
  <c r="O19" i="1"/>
  <c r="O20" i="1"/>
  <c r="P19" i="1" s="1"/>
  <c r="AF169" i="1"/>
  <c r="AF165" i="1" s="1"/>
  <c r="P168" i="1"/>
  <c r="R169" i="1"/>
  <c r="N169" i="1"/>
  <c r="U76" i="1"/>
  <c r="BA75" i="1"/>
  <c r="AQ75" i="1"/>
  <c r="CC107" i="1"/>
  <c r="CC111" i="1" s="1"/>
  <c r="CB110" i="1"/>
  <c r="U66" i="1"/>
  <c r="AQ65" i="1"/>
  <c r="BA65" i="1"/>
  <c r="P158" i="1"/>
  <c r="N159" i="1"/>
  <c r="AF159" i="1"/>
  <c r="AF155" i="1" s="1"/>
  <c r="R159" i="1"/>
  <c r="AF149" i="1"/>
  <c r="AF145" i="1" s="1"/>
  <c r="R149" i="1"/>
  <c r="P148" i="1"/>
  <c r="N149" i="1"/>
  <c r="AQ55" i="1"/>
  <c r="BA55" i="1"/>
  <c r="U56" i="1"/>
  <c r="CC117" i="1"/>
  <c r="CC121" i="1" s="1"/>
  <c r="CB120" i="1"/>
  <c r="CB97" i="1"/>
  <c r="CB99" i="1" s="1"/>
  <c r="CA99" i="1"/>
  <c r="N40" i="1" l="1"/>
  <c r="N50" i="1"/>
  <c r="R50" i="1"/>
  <c r="P49" i="1"/>
  <c r="AF50" i="1"/>
  <c r="AF46" i="1" s="1"/>
  <c r="O138" i="1"/>
  <c r="O139" i="1"/>
  <c r="AQ35" i="1"/>
  <c r="O197" i="1"/>
  <c r="O198" i="1"/>
  <c r="U36" i="1"/>
  <c r="O118" i="1"/>
  <c r="O128" i="1"/>
  <c r="O129" i="1"/>
  <c r="E189" i="1"/>
  <c r="O207" i="1"/>
  <c r="O208" i="1"/>
  <c r="O119" i="1"/>
  <c r="N119" i="1" s="1"/>
  <c r="R20" i="1"/>
  <c r="BA15" i="1" s="1"/>
  <c r="AF20" i="1"/>
  <c r="AF16" i="1" s="1"/>
  <c r="N20" i="1"/>
  <c r="R30" i="1"/>
  <c r="AF30" i="1"/>
  <c r="AF26" i="1" s="1"/>
  <c r="P29" i="1"/>
  <c r="N30" i="1"/>
  <c r="O108" i="1"/>
  <c r="E100" i="1"/>
  <c r="O109" i="1"/>
  <c r="P108" i="1" s="1"/>
  <c r="AF10" i="1"/>
  <c r="O11" i="1"/>
  <c r="T10" i="1" s="1"/>
  <c r="BA164" i="1"/>
  <c r="U165" i="1"/>
  <c r="C73" i="1"/>
  <c r="K73" i="1" s="1"/>
  <c r="U67" i="1" s="1"/>
  <c r="U68" i="1" s="1"/>
  <c r="U69" i="1" s="1"/>
  <c r="C83" i="1"/>
  <c r="K83" i="1" s="1"/>
  <c r="U77" i="1" s="1"/>
  <c r="U78" i="1" s="1"/>
  <c r="U79" i="1" s="1"/>
  <c r="BA154" i="1"/>
  <c r="U155" i="1"/>
  <c r="C152" i="1"/>
  <c r="K152" i="1" s="1"/>
  <c r="U146" i="1" s="1"/>
  <c r="C162" i="1"/>
  <c r="K162" i="1" s="1"/>
  <c r="U156" i="1" s="1"/>
  <c r="C63" i="1"/>
  <c r="K63" i="1" s="1"/>
  <c r="U57" i="1" s="1"/>
  <c r="U58" i="1" s="1"/>
  <c r="U59" i="1" s="1"/>
  <c r="BA144" i="1"/>
  <c r="U145" i="1"/>
  <c r="R139" i="1" l="1"/>
  <c r="N139" i="1"/>
  <c r="AF139" i="1"/>
  <c r="AF135" i="1" s="1"/>
  <c r="P138" i="1"/>
  <c r="BA45" i="1"/>
  <c r="AQ45" i="1"/>
  <c r="U46" i="1"/>
  <c r="U16" i="1"/>
  <c r="R198" i="1"/>
  <c r="N198" i="1"/>
  <c r="P197" i="1"/>
  <c r="AF198" i="1"/>
  <c r="AF194" i="1" s="1"/>
  <c r="P128" i="1"/>
  <c r="N129" i="1"/>
  <c r="AF129" i="1"/>
  <c r="AF125" i="1" s="1"/>
  <c r="R129" i="1"/>
  <c r="AF7" i="1"/>
  <c r="AG6" i="1" s="1"/>
  <c r="AQ15" i="1"/>
  <c r="AF119" i="1"/>
  <c r="AF115" i="1" s="1"/>
  <c r="P207" i="1"/>
  <c r="R208" i="1"/>
  <c r="N208" i="1"/>
  <c r="AF208" i="1"/>
  <c r="AF204" i="1" s="1"/>
  <c r="P118" i="1"/>
  <c r="R119" i="1"/>
  <c r="BA114" i="1" s="1"/>
  <c r="O189" i="1"/>
  <c r="T188" i="1" s="1"/>
  <c r="AF188" i="1"/>
  <c r="AF109" i="1"/>
  <c r="AF105" i="1" s="1"/>
  <c r="U26" i="1"/>
  <c r="BA25" i="1"/>
  <c r="AQ25" i="1"/>
  <c r="N109" i="1"/>
  <c r="AF99" i="1"/>
  <c r="O100" i="1"/>
  <c r="T99" i="1" s="1"/>
  <c r="X102" i="1" s="1"/>
  <c r="C142" i="1" s="1"/>
  <c r="K142" i="1" s="1"/>
  <c r="U136" i="1" s="1"/>
  <c r="R109" i="1"/>
  <c r="BA104" i="1" s="1"/>
  <c r="AJ10" i="1"/>
  <c r="X13" i="1"/>
  <c r="U147" i="1"/>
  <c r="U148" i="1" s="1"/>
  <c r="U157" i="1"/>
  <c r="U158" i="1" s="1"/>
  <c r="C43" i="1" l="1"/>
  <c r="K43" i="1" s="1"/>
  <c r="U37" i="1" s="1"/>
  <c r="U38" i="1" s="1"/>
  <c r="U39" i="1" s="1"/>
  <c r="C53" i="1"/>
  <c r="K53" i="1" s="1"/>
  <c r="U47" i="1" s="1"/>
  <c r="U48" i="1" s="1"/>
  <c r="U49" i="1" s="1"/>
  <c r="U135" i="1"/>
  <c r="U137" i="1" s="1"/>
  <c r="U138" i="1" s="1"/>
  <c r="BA134" i="1"/>
  <c r="M194" i="1"/>
  <c r="U194" i="1"/>
  <c r="BA193" i="1"/>
  <c r="U115" i="1"/>
  <c r="U125" i="1"/>
  <c r="BA124" i="1"/>
  <c r="C122" i="1"/>
  <c r="K122" i="1" s="1"/>
  <c r="U116" i="1" s="1"/>
  <c r="C132" i="1"/>
  <c r="K132" i="1" s="1"/>
  <c r="U126" i="1" s="1"/>
  <c r="AF96" i="1"/>
  <c r="AG95" i="1" s="1"/>
  <c r="U204" i="1"/>
  <c r="M204" i="1"/>
  <c r="BA203" i="1"/>
  <c r="X191" i="1"/>
  <c r="AF185" i="1"/>
  <c r="AG184" i="1" s="1"/>
  <c r="C23" i="1"/>
  <c r="C33" i="1"/>
  <c r="K33" i="1" s="1"/>
  <c r="U105" i="1"/>
  <c r="C172" i="1"/>
  <c r="K172" i="1" s="1"/>
  <c r="U166" i="1" s="1"/>
  <c r="U167" i="1" s="1"/>
  <c r="U168" i="1" s="1"/>
  <c r="C112" i="1"/>
  <c r="K75" i="1"/>
  <c r="K154" i="1"/>
  <c r="K164" i="1"/>
  <c r="K55" i="1"/>
  <c r="K65" i="1"/>
  <c r="K144" i="1"/>
  <c r="U117" i="1" l="1"/>
  <c r="U118" i="1" s="1"/>
  <c r="C211" i="1"/>
  <c r="K211" i="1" s="1"/>
  <c r="U205" i="1" s="1"/>
  <c r="U195" i="1" s="1"/>
  <c r="U196" i="1" s="1"/>
  <c r="U197" i="1" s="1"/>
  <c r="C201" i="1"/>
  <c r="U106" i="1"/>
  <c r="U107" i="1" s="1"/>
  <c r="U108" i="1" s="1"/>
  <c r="U127" i="1"/>
  <c r="U128" i="1" s="1"/>
  <c r="K201" i="1"/>
  <c r="L265" i="1" s="1"/>
  <c r="BO225" i="1" s="1"/>
  <c r="AU200" i="1"/>
  <c r="B2" i="9"/>
  <c r="L11" i="13"/>
  <c r="AG2" i="1"/>
  <c r="AA1" i="9"/>
  <c r="U27" i="1"/>
  <c r="K23" i="1"/>
  <c r="L87" i="1" s="1"/>
  <c r="K112" i="1"/>
  <c r="L176" i="1" s="1"/>
  <c r="K134" i="1" s="1"/>
  <c r="K35" i="1" l="1"/>
  <c r="K45" i="1"/>
  <c r="U206" i="1"/>
  <c r="U207" i="1" s="1"/>
  <c r="BQ227" i="1"/>
  <c r="BO205" i="1"/>
  <c r="BO224" i="1"/>
  <c r="BO206" i="1"/>
  <c r="AE188" i="1"/>
  <c r="BO246" i="1"/>
  <c r="BO258" i="1"/>
  <c r="BO254" i="1"/>
  <c r="BO204" i="1"/>
  <c r="BO218" i="1"/>
  <c r="U238" i="1"/>
  <c r="BB239" i="1" s="1"/>
  <c r="BO247" i="1"/>
  <c r="BQ214" i="1"/>
  <c r="BQ254" i="1"/>
  <c r="BQ245" i="1"/>
  <c r="BQ204" i="1"/>
  <c r="BO215" i="1"/>
  <c r="BQ206" i="1"/>
  <c r="BO214" i="1"/>
  <c r="BQ235" i="1"/>
  <c r="F35" i="14"/>
  <c r="BO249" i="1"/>
  <c r="BQ215" i="1"/>
  <c r="BQ255" i="1"/>
  <c r="BO244" i="1"/>
  <c r="CM65" i="1"/>
  <c r="BQ234" i="1"/>
  <c r="BO226" i="1"/>
  <c r="BO208" i="1"/>
  <c r="BQ247" i="1"/>
  <c r="BO237" i="1"/>
  <c r="BQ236" i="1"/>
  <c r="U218" i="1"/>
  <c r="AR219" i="1" s="1"/>
  <c r="BQ257" i="1"/>
  <c r="BQ225" i="1"/>
  <c r="BO234" i="1"/>
  <c r="BO227" i="1"/>
  <c r="BQ226" i="1"/>
  <c r="BO207" i="1"/>
  <c r="BO255" i="1"/>
  <c r="BO228" i="1"/>
  <c r="BO256" i="1"/>
  <c r="BQ237" i="1"/>
  <c r="BO239" i="1"/>
  <c r="BQ205" i="1"/>
  <c r="BQ224" i="1"/>
  <c r="F8" i="9"/>
  <c r="D38" i="16" s="1"/>
  <c r="U248" i="1"/>
  <c r="AR249" i="1" s="1"/>
  <c r="BO229" i="1"/>
  <c r="BO219" i="1"/>
  <c r="BO248" i="1"/>
  <c r="BQ216" i="1"/>
  <c r="BO245" i="1"/>
  <c r="BQ246" i="1"/>
  <c r="U258" i="1"/>
  <c r="U208" i="1"/>
  <c r="AR209" i="1" s="1"/>
  <c r="BO238" i="1"/>
  <c r="K104" i="1"/>
  <c r="K124" i="1"/>
  <c r="U228" i="1"/>
  <c r="U223" i="1" s="1"/>
  <c r="BO217" i="1"/>
  <c r="BO257" i="1"/>
  <c r="BQ217" i="1"/>
  <c r="BO259" i="1"/>
  <c r="BO216" i="1"/>
  <c r="BO209" i="1"/>
  <c r="BO235" i="1"/>
  <c r="BO236" i="1"/>
  <c r="BQ244" i="1"/>
  <c r="BQ207" i="1"/>
  <c r="BQ256" i="1"/>
  <c r="AZ200" i="1"/>
  <c r="AU32" i="1"/>
  <c r="AZ230" i="1"/>
  <c r="AZ240" i="1"/>
  <c r="AZ260" i="1"/>
  <c r="AU42" i="1"/>
  <c r="AZ250" i="1"/>
  <c r="AZ210" i="1"/>
  <c r="AU52" i="1"/>
  <c r="AU82" i="1"/>
  <c r="AU22" i="1"/>
  <c r="AZ22" i="1" s="1"/>
  <c r="AZ220" i="1"/>
  <c r="AU62" i="1"/>
  <c r="AU72" i="1"/>
  <c r="A6" i="1"/>
  <c r="A95" i="1"/>
  <c r="A184" i="1"/>
  <c r="K114" i="1"/>
  <c r="U60" i="1"/>
  <c r="CM30" i="1"/>
  <c r="L9" i="13"/>
  <c r="U70" i="1"/>
  <c r="F4" i="9"/>
  <c r="U40" i="1"/>
  <c r="U50" i="1"/>
  <c r="U80" i="1"/>
  <c r="AE10" i="1"/>
  <c r="U28" i="1"/>
  <c r="U29" i="1" s="1"/>
  <c r="U17" i="1"/>
  <c r="U18" i="1" s="1"/>
  <c r="U19" i="1" s="1"/>
  <c r="U119" i="1"/>
  <c r="AR120" i="1" s="1"/>
  <c r="U169" i="1"/>
  <c r="AE99" i="1"/>
  <c r="U129" i="1"/>
  <c r="U159" i="1"/>
  <c r="CM14" i="1"/>
  <c r="F36" i="14"/>
  <c r="Z298" i="1"/>
  <c r="U139" i="1"/>
  <c r="CM47" i="1"/>
  <c r="F6" i="9"/>
  <c r="U149" i="1"/>
  <c r="U114" i="1"/>
  <c r="BB219" i="1" l="1"/>
  <c r="U213" i="1"/>
  <c r="U233" i="1"/>
  <c r="AR229" i="1"/>
  <c r="BB209" i="1"/>
  <c r="BB229" i="1"/>
  <c r="BQ228" i="1"/>
  <c r="U198" i="1"/>
  <c r="BB199" i="1" s="1"/>
  <c r="AR239" i="1"/>
  <c r="U243" i="1"/>
  <c r="BB249" i="1"/>
  <c r="U203" i="1"/>
  <c r="BQ258" i="1"/>
  <c r="U253" i="1"/>
  <c r="BQ248" i="1"/>
  <c r="AR259" i="1"/>
  <c r="BB259" i="1"/>
  <c r="BQ208" i="1"/>
  <c r="BQ218" i="1"/>
  <c r="BQ238" i="1"/>
  <c r="F34" i="14"/>
  <c r="D34" i="16"/>
  <c r="U75" i="1"/>
  <c r="AW81" i="1"/>
  <c r="U65" i="1"/>
  <c r="AW71" i="1"/>
  <c r="AW61" i="1"/>
  <c r="U55" i="1"/>
  <c r="AW51" i="1"/>
  <c r="U45" i="1"/>
  <c r="U30" i="1"/>
  <c r="K25" i="1"/>
  <c r="F30" i="14"/>
  <c r="AB30" i="14" s="1"/>
  <c r="AW41" i="1"/>
  <c r="U35" i="1"/>
  <c r="A56" i="9"/>
  <c r="A48" i="9"/>
  <c r="A24" i="9"/>
  <c r="A32" i="9"/>
  <c r="A40" i="9"/>
  <c r="A64" i="9"/>
  <c r="A16" i="9"/>
  <c r="K15" i="1"/>
  <c r="AR60" i="1"/>
  <c r="AR150" i="1"/>
  <c r="F46" i="9"/>
  <c r="D46" i="9" s="1"/>
  <c r="U144" i="1"/>
  <c r="F30" i="9"/>
  <c r="D30" i="9" s="1"/>
  <c r="AR40" i="1"/>
  <c r="U124" i="1"/>
  <c r="AR130" i="1"/>
  <c r="U109" i="1"/>
  <c r="BB140" i="1" s="1"/>
  <c r="CM17" i="1"/>
  <c r="CM20" i="1"/>
  <c r="CN47" i="1"/>
  <c r="CM22" i="1"/>
  <c r="CM24" i="1"/>
  <c r="CN65" i="1"/>
  <c r="CM23" i="1"/>
  <c r="CM18" i="1"/>
  <c r="CM21" i="1"/>
  <c r="CM16" i="1"/>
  <c r="CM19" i="1"/>
  <c r="AR170" i="1"/>
  <c r="F62" i="9"/>
  <c r="D62" i="9" s="1"/>
  <c r="U164" i="1"/>
  <c r="AR80" i="1"/>
  <c r="X296" i="1"/>
  <c r="X298" i="1"/>
  <c r="X297" i="1"/>
  <c r="X295" i="1"/>
  <c r="X299" i="1"/>
  <c r="Z297" i="1"/>
  <c r="Z296" i="1"/>
  <c r="Z294" i="1"/>
  <c r="Z295" i="1"/>
  <c r="D36" i="16"/>
  <c r="F10" i="9"/>
  <c r="AR140" i="1"/>
  <c r="F38" i="9"/>
  <c r="D38" i="9" s="1"/>
  <c r="AR50" i="1"/>
  <c r="U134" i="1"/>
  <c r="AR160" i="1"/>
  <c r="F54" i="9"/>
  <c r="D54" i="9" s="1"/>
  <c r="U154" i="1"/>
  <c r="AR70" i="1"/>
  <c r="U193" i="1" l="1"/>
  <c r="CM70" i="1"/>
  <c r="CM52" i="1" s="1"/>
  <c r="BB130" i="1"/>
  <c r="AR199" i="1"/>
  <c r="BB160" i="1"/>
  <c r="BB170" i="1"/>
  <c r="D32" i="16"/>
  <c r="I34" i="16" s="1"/>
  <c r="AE186" i="1"/>
  <c r="AE97" i="1"/>
  <c r="BB110" i="1"/>
  <c r="BB120" i="1"/>
  <c r="BB150" i="1"/>
  <c r="U104" i="1"/>
  <c r="AR110" i="1"/>
  <c r="Z13" i="13"/>
  <c r="AA14" i="13" s="1"/>
  <c r="AC14" i="13" s="1"/>
  <c r="CM74" i="1"/>
  <c r="CM56" i="1" s="1"/>
  <c r="U25" i="1"/>
  <c r="U20" i="1"/>
  <c r="AR20" i="1" s="1"/>
  <c r="AW31" i="1"/>
  <c r="F22" i="9"/>
  <c r="D22" i="9" s="1"/>
  <c r="AR30" i="1"/>
  <c r="X294" i="1"/>
  <c r="AQ243" i="1"/>
  <c r="AR69" i="1"/>
  <c r="AP70" i="1"/>
  <c r="AR68" i="1"/>
  <c r="AP68" i="1"/>
  <c r="AR67" i="1"/>
  <c r="AP67" i="1"/>
  <c r="AR66" i="1"/>
  <c r="AP71" i="1"/>
  <c r="AP249" i="1" s="1"/>
  <c r="AQ154" i="1"/>
  <c r="AP69" i="1"/>
  <c r="CM15" i="1"/>
  <c r="CM66" i="1" s="1"/>
  <c r="CM67" i="1"/>
  <c r="CM49" i="1" s="1"/>
  <c r="CM71" i="1"/>
  <c r="CM53" i="1" s="1"/>
  <c r="CM72" i="1"/>
  <c r="CM54" i="1" s="1"/>
  <c r="CM75" i="1"/>
  <c r="CM57" i="1" s="1"/>
  <c r="CM68" i="1"/>
  <c r="CM50" i="1" s="1"/>
  <c r="AR37" i="1"/>
  <c r="AR36" i="1"/>
  <c r="AR38" i="1"/>
  <c r="AP41" i="1"/>
  <c r="AQ213" i="1"/>
  <c r="AP38" i="1"/>
  <c r="AP39" i="1"/>
  <c r="AP37" i="1"/>
  <c r="AQ124" i="1"/>
  <c r="AP40" i="1"/>
  <c r="AR39" i="1"/>
  <c r="AP81" i="1"/>
  <c r="AR79" i="1"/>
  <c r="AP77" i="1"/>
  <c r="AP78" i="1"/>
  <c r="AR78" i="1"/>
  <c r="AP80" i="1"/>
  <c r="AR77" i="1"/>
  <c r="AR76" i="1"/>
  <c r="AQ253" i="1"/>
  <c r="AP79" i="1"/>
  <c r="AQ164" i="1"/>
  <c r="AR47" i="1"/>
  <c r="AP51" i="1"/>
  <c r="AQ223" i="1"/>
  <c r="AP47" i="1"/>
  <c r="AP48" i="1"/>
  <c r="AR46" i="1"/>
  <c r="AQ134" i="1"/>
  <c r="AR48" i="1"/>
  <c r="AP49" i="1"/>
  <c r="AR49" i="1"/>
  <c r="AP50" i="1"/>
  <c r="CM69" i="1"/>
  <c r="CM51" i="1" s="1"/>
  <c r="CM73" i="1"/>
  <c r="CM55" i="1" s="1"/>
  <c r="AR59" i="1"/>
  <c r="AR57" i="1"/>
  <c r="AP61" i="1"/>
  <c r="AP57" i="1"/>
  <c r="AQ144" i="1"/>
  <c r="AQ233" i="1"/>
  <c r="AP58" i="1"/>
  <c r="AR58" i="1"/>
  <c r="AR56" i="1"/>
  <c r="AP60" i="1"/>
  <c r="AP238" i="1" s="1"/>
  <c r="AP59" i="1"/>
  <c r="AA21" i="13" l="1"/>
  <c r="AC21" i="13" s="1"/>
  <c r="AP228" i="1"/>
  <c r="AP139" i="1" s="1"/>
  <c r="AA20" i="13"/>
  <c r="AC20" i="13" s="1"/>
  <c r="AA23" i="13"/>
  <c r="AA22" i="13"/>
  <c r="AC22" i="13" s="1"/>
  <c r="AA19" i="13"/>
  <c r="AC19" i="13" s="1"/>
  <c r="AA16" i="13"/>
  <c r="AC16" i="13" s="1"/>
  <c r="AA15" i="13"/>
  <c r="AC15" i="13" s="1"/>
  <c r="AR224" i="1"/>
  <c r="AR135" i="1" s="1"/>
  <c r="AP219" i="1"/>
  <c r="AP130" i="1" s="1"/>
  <c r="AR227" i="1"/>
  <c r="AR138" i="1" s="1"/>
  <c r="AA18" i="13"/>
  <c r="AC18" i="13" s="1"/>
  <c r="AA17" i="13"/>
  <c r="AC17" i="13" s="1"/>
  <c r="AR226" i="1"/>
  <c r="AR137" i="1" s="1"/>
  <c r="AP76" i="1"/>
  <c r="AP254" i="1" s="1"/>
  <c r="AP246" i="1"/>
  <c r="AP157" i="1" s="1"/>
  <c r="AP149" i="1"/>
  <c r="AR244" i="1"/>
  <c r="AP247" i="1"/>
  <c r="AP158" i="1" s="1"/>
  <c r="AP17" i="1"/>
  <c r="AR19" i="1"/>
  <c r="AP20" i="1"/>
  <c r="AR17" i="1"/>
  <c r="AR18" i="1"/>
  <c r="AP18" i="1"/>
  <c r="AR16" i="1"/>
  <c r="AP19" i="1"/>
  <c r="AQ193" i="1"/>
  <c r="AP21" i="1"/>
  <c r="AQ203" i="1"/>
  <c r="AQ114" i="1"/>
  <c r="AP30" i="1"/>
  <c r="AR28" i="1"/>
  <c r="AP29" i="1"/>
  <c r="AP27" i="1"/>
  <c r="AR26" i="1"/>
  <c r="AR27" i="1"/>
  <c r="AP31" i="1"/>
  <c r="AP28" i="1"/>
  <c r="AR29" i="1"/>
  <c r="AR245" i="1"/>
  <c r="AR156" i="1" s="1"/>
  <c r="AR247" i="1"/>
  <c r="AR158" i="1" s="1"/>
  <c r="U15" i="1"/>
  <c r="AW21" i="1"/>
  <c r="AQ104" i="1" s="1"/>
  <c r="AE8" i="1"/>
  <c r="F14" i="9"/>
  <c r="AR255" i="1"/>
  <c r="AR166" i="1" s="1"/>
  <c r="AP255" i="1"/>
  <c r="AP166" i="1" s="1"/>
  <c r="AP218" i="1"/>
  <c r="AP129" i="1" s="1"/>
  <c r="AP216" i="1"/>
  <c r="AP127" i="1" s="1"/>
  <c r="AR214" i="1"/>
  <c r="AR125" i="1" s="1"/>
  <c r="AP245" i="1"/>
  <c r="AP156" i="1" s="1"/>
  <c r="AP248" i="1"/>
  <c r="AR155" i="1"/>
  <c r="AR246" i="1"/>
  <c r="AR157" i="1" s="1"/>
  <c r="AR235" i="1"/>
  <c r="AR146" i="1" s="1"/>
  <c r="CM77" i="1"/>
  <c r="CN77" i="1" s="1"/>
  <c r="AR234" i="1"/>
  <c r="AR145" i="1" s="1"/>
  <c r="AR237" i="1"/>
  <c r="AR148" i="1" s="1"/>
  <c r="AP257" i="1"/>
  <c r="AP168" i="1" s="1"/>
  <c r="AP258" i="1"/>
  <c r="AP169" i="1" s="1"/>
  <c r="AR257" i="1"/>
  <c r="AR168" i="1" s="1"/>
  <c r="AR215" i="1"/>
  <c r="AR126" i="1" s="1"/>
  <c r="AP66" i="1"/>
  <c r="AP159" i="1"/>
  <c r="AP225" i="1"/>
  <c r="AP136" i="1" s="1"/>
  <c r="AP46" i="1"/>
  <c r="AR236" i="1"/>
  <c r="AR147" i="1" s="1"/>
  <c r="AP235" i="1"/>
  <c r="AP146" i="1" s="1"/>
  <c r="AP56" i="1"/>
  <c r="AP234" i="1" s="1"/>
  <c r="AP229" i="1"/>
  <c r="AP140" i="1" s="1"/>
  <c r="AR256" i="1"/>
  <c r="AR167" i="1" s="1"/>
  <c r="AP259" i="1"/>
  <c r="AP170" i="1" s="1"/>
  <c r="AP215" i="1"/>
  <c r="AP126" i="1" s="1"/>
  <c r="AP36" i="1"/>
  <c r="AP214" i="1" s="1"/>
  <c r="CM48" i="1"/>
  <c r="CM59" i="1" s="1"/>
  <c r="CN59" i="1" s="1"/>
  <c r="CO51" i="1" s="1"/>
  <c r="CP51" i="1" s="1"/>
  <c r="AP237" i="1"/>
  <c r="AP148" i="1" s="1"/>
  <c r="AP236" i="1"/>
  <c r="AP147" i="1" s="1"/>
  <c r="AP239" i="1"/>
  <c r="AP150" i="1" s="1"/>
  <c r="AP227" i="1"/>
  <c r="AP138" i="1" s="1"/>
  <c r="AP226" i="1"/>
  <c r="AP137" i="1" s="1"/>
  <c r="AR225" i="1"/>
  <c r="AR136" i="1" s="1"/>
  <c r="AR254" i="1"/>
  <c r="AR165" i="1" s="1"/>
  <c r="AP256" i="1"/>
  <c r="AP167" i="1" s="1"/>
  <c r="AR217" i="1"/>
  <c r="AR128" i="1" s="1"/>
  <c r="AP217" i="1"/>
  <c r="AP128" i="1" s="1"/>
  <c r="AR216" i="1"/>
  <c r="AR127" i="1" s="1"/>
  <c r="AP160" i="1"/>
  <c r="AP165" i="1" l="1"/>
  <c r="AP209" i="1"/>
  <c r="AP120" i="1" s="1"/>
  <c r="AR207" i="1"/>
  <c r="AR118" i="1" s="1"/>
  <c r="AR204" i="1"/>
  <c r="AR115" i="1" s="1"/>
  <c r="AP207" i="1"/>
  <c r="AP118" i="1" s="1"/>
  <c r="AP206" i="1"/>
  <c r="AP117" i="1" s="1"/>
  <c r="AP208" i="1"/>
  <c r="AP119" i="1" s="1"/>
  <c r="AP205" i="1"/>
  <c r="AP116" i="1" s="1"/>
  <c r="AP26" i="1"/>
  <c r="AP204" i="1" s="1"/>
  <c r="AP115" i="1" s="1"/>
  <c r="AR205" i="1"/>
  <c r="AR116" i="1" s="1"/>
  <c r="AR206" i="1"/>
  <c r="AR117" i="1" s="1"/>
  <c r="AP199" i="1"/>
  <c r="AP110" i="1" s="1"/>
  <c r="AP196" i="1"/>
  <c r="AP107" i="1" s="1"/>
  <c r="AR197" i="1"/>
  <c r="AR108" i="1" s="1"/>
  <c r="CO49" i="1"/>
  <c r="CP49" i="1" s="1"/>
  <c r="CO56" i="1"/>
  <c r="CP56" i="1" s="1"/>
  <c r="CO50" i="1"/>
  <c r="CP50" i="1" s="1"/>
  <c r="Y11" i="9"/>
  <c r="D14" i="9"/>
  <c r="AR196" i="1"/>
  <c r="AR107" i="1" s="1"/>
  <c r="AP195" i="1"/>
  <c r="AP106" i="1" s="1"/>
  <c r="AP16" i="1"/>
  <c r="AP194" i="1" s="1"/>
  <c r="CO55" i="1"/>
  <c r="CP55" i="1" s="1"/>
  <c r="Z95" i="1" s="1"/>
  <c r="AP197" i="1"/>
  <c r="AP108" i="1" s="1"/>
  <c r="AR195" i="1"/>
  <c r="AR106" i="1" s="1"/>
  <c r="CO54" i="1"/>
  <c r="CP54" i="1" s="1"/>
  <c r="Z94" i="1" s="1"/>
  <c r="O6" i="9" s="1"/>
  <c r="AR194" i="1"/>
  <c r="AR105" i="1" s="1"/>
  <c r="AP198" i="1"/>
  <c r="AP109" i="1" s="1"/>
  <c r="CO53" i="1"/>
  <c r="CP53" i="1" s="1"/>
  <c r="X99" i="1" s="1"/>
  <c r="M11" i="9" s="1"/>
  <c r="CO52" i="1"/>
  <c r="CP52" i="1" s="1"/>
  <c r="X98" i="1" s="1"/>
  <c r="M10" i="9" s="1"/>
  <c r="CO48" i="1"/>
  <c r="CO57" i="1"/>
  <c r="CP57" i="1" s="1"/>
  <c r="Z97" i="1" s="1"/>
  <c r="O9" i="9" s="1"/>
  <c r="AP125" i="1"/>
  <c r="AR129" i="1" s="1"/>
  <c r="AV124" i="1" s="1"/>
  <c r="AR218" i="1"/>
  <c r="AV213" i="1" s="1"/>
  <c r="AP224" i="1"/>
  <c r="AR228" i="1" s="1"/>
  <c r="AV223" i="1" s="1"/>
  <c r="CO74" i="1"/>
  <c r="CP74" i="1" s="1"/>
  <c r="Z185" i="1" s="1"/>
  <c r="S8" i="9" s="1"/>
  <c r="CO68" i="1"/>
  <c r="CP68" i="1" s="1"/>
  <c r="X185" i="1" s="1"/>
  <c r="Q8" i="9" s="1"/>
  <c r="CO66" i="1"/>
  <c r="CO72" i="1"/>
  <c r="CP72" i="1" s="1"/>
  <c r="Z183" i="1" s="1"/>
  <c r="S6" i="9" s="1"/>
  <c r="CO70" i="1"/>
  <c r="CP70" i="1" s="1"/>
  <c r="X187" i="1" s="1"/>
  <c r="Q10" i="9" s="1"/>
  <c r="CO71" i="1"/>
  <c r="CP71" i="1" s="1"/>
  <c r="X188" i="1" s="1"/>
  <c r="Q11" i="9" s="1"/>
  <c r="CO75" i="1"/>
  <c r="CP75" i="1" s="1"/>
  <c r="Z186" i="1" s="1"/>
  <c r="S9" i="9" s="1"/>
  <c r="CO67" i="1"/>
  <c r="CP67" i="1" s="1"/>
  <c r="X184" i="1" s="1"/>
  <c r="Q7" i="9" s="1"/>
  <c r="CO69" i="1"/>
  <c r="CP69" i="1" s="1"/>
  <c r="X186" i="1" s="1"/>
  <c r="Q9" i="9" s="1"/>
  <c r="CO73" i="1"/>
  <c r="CP73" i="1" s="1"/>
  <c r="Z184" i="1" s="1"/>
  <c r="S7" i="9" s="1"/>
  <c r="AP145" i="1"/>
  <c r="AR149" i="1" s="1"/>
  <c r="AV144" i="1" s="1"/>
  <c r="AR238" i="1"/>
  <c r="AV233" i="1" s="1"/>
  <c r="AP244" i="1"/>
  <c r="AR248" i="1" s="1"/>
  <c r="AV243" i="1" s="1"/>
  <c r="AR169" i="1"/>
  <c r="AV164" i="1" s="1"/>
  <c r="AU166" i="1" s="1"/>
  <c r="AZ166" i="1" s="1"/>
  <c r="X166" i="1" s="1"/>
  <c r="M63" i="9" s="1"/>
  <c r="AR258" i="1"/>
  <c r="AV253" i="1" s="1"/>
  <c r="CP48" i="1"/>
  <c r="Z96" i="1"/>
  <c r="X96" i="1"/>
  <c r="M8" i="9" s="1"/>
  <c r="X97" i="1"/>
  <c r="CM39" i="1" l="1"/>
  <c r="Z7" i="1" s="1"/>
  <c r="K8" i="9" s="1"/>
  <c r="CM34" i="1"/>
  <c r="X8" i="1" s="1"/>
  <c r="I9" i="9" s="1"/>
  <c r="CO47" i="1"/>
  <c r="AW166" i="1"/>
  <c r="BB166" i="1" s="1"/>
  <c r="Z166" i="1" s="1"/>
  <c r="O63" i="9" s="1"/>
  <c r="CM32" i="1"/>
  <c r="X6" i="1" s="1"/>
  <c r="I7" i="9" s="1"/>
  <c r="CM35" i="1"/>
  <c r="X9" i="1" s="1"/>
  <c r="I10" i="9" s="1"/>
  <c r="U10" i="9" s="1"/>
  <c r="AR208" i="1"/>
  <c r="AV203" i="1" s="1"/>
  <c r="AW204" i="1" s="1"/>
  <c r="BB204" i="1" s="1"/>
  <c r="Z204" i="1" s="1"/>
  <c r="AR119" i="1"/>
  <c r="AV114" i="1" s="1"/>
  <c r="CM37" i="1"/>
  <c r="Z5" i="1" s="1"/>
  <c r="K6" i="9" s="1"/>
  <c r="W6" i="9" s="1"/>
  <c r="X95" i="1"/>
  <c r="M7" i="9" s="1"/>
  <c r="CM38" i="1"/>
  <c r="Z6" i="1" s="1"/>
  <c r="K7" i="9" s="1"/>
  <c r="CM33" i="1"/>
  <c r="X7" i="1" s="1"/>
  <c r="I8" i="9" s="1"/>
  <c r="U8" i="9" s="1"/>
  <c r="CM36" i="1"/>
  <c r="X10" i="1" s="1"/>
  <c r="I11" i="9" s="1"/>
  <c r="U11" i="9" s="1"/>
  <c r="AP105" i="1"/>
  <c r="AR109" i="1" s="1"/>
  <c r="AV104" i="1" s="1"/>
  <c r="AR198" i="1"/>
  <c r="AV193" i="1" s="1"/>
  <c r="AU129" i="1"/>
  <c r="AZ129" i="1" s="1"/>
  <c r="AU126" i="1"/>
  <c r="AZ126" i="1" s="1"/>
  <c r="AW128" i="1"/>
  <c r="BB128" i="1" s="1"/>
  <c r="AW126" i="1"/>
  <c r="BB126" i="1" s="1"/>
  <c r="AW127" i="1"/>
  <c r="BB127" i="1" s="1"/>
  <c r="AU130" i="1"/>
  <c r="AZ130" i="1" s="1"/>
  <c r="AW125" i="1"/>
  <c r="BB125" i="1" s="1"/>
  <c r="AU125" i="1"/>
  <c r="AU128" i="1"/>
  <c r="AZ128" i="1" s="1"/>
  <c r="AU127" i="1"/>
  <c r="AZ127" i="1" s="1"/>
  <c r="AW225" i="1"/>
  <c r="BB225" i="1" s="1"/>
  <c r="Z225" i="1" s="1"/>
  <c r="S39" i="9" s="1"/>
  <c r="AU224" i="1"/>
  <c r="AW224" i="1"/>
  <c r="BB224" i="1" s="1"/>
  <c r="Z224" i="1" s="1"/>
  <c r="S38" i="9" s="1"/>
  <c r="AU229" i="1"/>
  <c r="AZ229" i="1" s="1"/>
  <c r="X229" i="1" s="1"/>
  <c r="Q43" i="9" s="1"/>
  <c r="AU228" i="1"/>
  <c r="AZ228" i="1" s="1"/>
  <c r="X228" i="1" s="1"/>
  <c r="Q42" i="9" s="1"/>
  <c r="AU226" i="1"/>
  <c r="AZ226" i="1" s="1"/>
  <c r="X226" i="1" s="1"/>
  <c r="Q40" i="9" s="1"/>
  <c r="AW226" i="1"/>
  <c r="BB226" i="1" s="1"/>
  <c r="Z226" i="1" s="1"/>
  <c r="S40" i="9" s="1"/>
  <c r="AU225" i="1"/>
  <c r="AZ225" i="1" s="1"/>
  <c r="X225" i="1" s="1"/>
  <c r="AW227" i="1"/>
  <c r="BB227" i="1" s="1"/>
  <c r="Z227" i="1" s="1"/>
  <c r="S41" i="9" s="1"/>
  <c r="AU227" i="1"/>
  <c r="AZ227" i="1" s="1"/>
  <c r="X227" i="1" s="1"/>
  <c r="Q41" i="9" s="1"/>
  <c r="AW165" i="1"/>
  <c r="BB165" i="1" s="1"/>
  <c r="Z165" i="1" s="1"/>
  <c r="O62" i="9" s="1"/>
  <c r="AW168" i="1"/>
  <c r="BB168" i="1" s="1"/>
  <c r="Z168" i="1" s="1"/>
  <c r="O65" i="9" s="1"/>
  <c r="AU168" i="1"/>
  <c r="AZ168" i="1" s="1"/>
  <c r="X168" i="1" s="1"/>
  <c r="M65" i="9" s="1"/>
  <c r="AU167" i="1"/>
  <c r="AZ167" i="1" s="1"/>
  <c r="X167" i="1" s="1"/>
  <c r="M64" i="9" s="1"/>
  <c r="AP155" i="1"/>
  <c r="AU170" i="1"/>
  <c r="AZ170" i="1" s="1"/>
  <c r="X170" i="1" s="1"/>
  <c r="M67" i="9" s="1"/>
  <c r="AW145" i="1"/>
  <c r="BB145" i="1" s="1"/>
  <c r="AW148" i="1"/>
  <c r="BB148" i="1" s="1"/>
  <c r="AW147" i="1"/>
  <c r="BB147" i="1" s="1"/>
  <c r="AU147" i="1"/>
  <c r="AZ147" i="1" s="1"/>
  <c r="AU145" i="1"/>
  <c r="AW146" i="1"/>
  <c r="BB146" i="1" s="1"/>
  <c r="AU148" i="1"/>
  <c r="AZ148" i="1" s="1"/>
  <c r="AU149" i="1"/>
  <c r="AZ149" i="1" s="1"/>
  <c r="AU150" i="1"/>
  <c r="AZ150" i="1" s="1"/>
  <c r="AU146" i="1"/>
  <c r="AZ146" i="1" s="1"/>
  <c r="CO65" i="1"/>
  <c r="CP66" i="1"/>
  <c r="CM31" i="1" s="1"/>
  <c r="CM40" i="1"/>
  <c r="Z8" i="1" s="1"/>
  <c r="K9" i="9" s="1"/>
  <c r="W9" i="9" s="1"/>
  <c r="BM9" i="9" s="1"/>
  <c r="BR9" i="9" s="1"/>
  <c r="BY9" i="9" s="1"/>
  <c r="AU165" i="1"/>
  <c r="AZ165" i="1" s="1"/>
  <c r="AU169" i="1"/>
  <c r="AZ169" i="1" s="1"/>
  <c r="X169" i="1" s="1"/>
  <c r="M66" i="9" s="1"/>
  <c r="AU246" i="1"/>
  <c r="AZ246" i="1" s="1"/>
  <c r="X246" i="1" s="1"/>
  <c r="Q56" i="9" s="1"/>
  <c r="AU249" i="1"/>
  <c r="AZ249" i="1" s="1"/>
  <c r="X249" i="1" s="1"/>
  <c r="Q59" i="9" s="1"/>
  <c r="AW246" i="1"/>
  <c r="BB246" i="1" s="1"/>
  <c r="Z246" i="1" s="1"/>
  <c r="S56" i="9" s="1"/>
  <c r="AW244" i="1"/>
  <c r="BB244" i="1" s="1"/>
  <c r="Z244" i="1" s="1"/>
  <c r="S54" i="9" s="1"/>
  <c r="AU245" i="1"/>
  <c r="AZ245" i="1" s="1"/>
  <c r="X245" i="1" s="1"/>
  <c r="AW245" i="1"/>
  <c r="BB245" i="1" s="1"/>
  <c r="Z245" i="1" s="1"/>
  <c r="S55" i="9" s="1"/>
  <c r="AU248" i="1"/>
  <c r="AZ248" i="1" s="1"/>
  <c r="X248" i="1" s="1"/>
  <c r="Q58" i="9" s="1"/>
  <c r="AW247" i="1"/>
  <c r="BB247" i="1" s="1"/>
  <c r="Z247" i="1" s="1"/>
  <c r="S57" i="9" s="1"/>
  <c r="AU244" i="1"/>
  <c r="AU247" i="1"/>
  <c r="AZ247" i="1" s="1"/>
  <c r="X247" i="1" s="1"/>
  <c r="Q57" i="9" s="1"/>
  <c r="AW216" i="1"/>
  <c r="BB216" i="1" s="1"/>
  <c r="Z216" i="1" s="1"/>
  <c r="S32" i="9" s="1"/>
  <c r="AW215" i="1"/>
  <c r="BB215" i="1" s="1"/>
  <c r="Z215" i="1" s="1"/>
  <c r="S31" i="9" s="1"/>
  <c r="AU216" i="1"/>
  <c r="AZ216" i="1" s="1"/>
  <c r="X216" i="1" s="1"/>
  <c r="Q32" i="9" s="1"/>
  <c r="AU219" i="1"/>
  <c r="AZ219" i="1" s="1"/>
  <c r="X219" i="1" s="1"/>
  <c r="Q35" i="9" s="1"/>
  <c r="AU218" i="1"/>
  <c r="AZ218" i="1" s="1"/>
  <c r="X218" i="1" s="1"/>
  <c r="Q34" i="9" s="1"/>
  <c r="AU214" i="1"/>
  <c r="AW214" i="1"/>
  <c r="BB214" i="1" s="1"/>
  <c r="Z214" i="1" s="1"/>
  <c r="S30" i="9" s="1"/>
  <c r="AW217" i="1"/>
  <c r="BB217" i="1" s="1"/>
  <c r="Z217" i="1" s="1"/>
  <c r="S33" i="9" s="1"/>
  <c r="AU215" i="1"/>
  <c r="AZ215" i="1" s="1"/>
  <c r="X215" i="1" s="1"/>
  <c r="AU217" i="1"/>
  <c r="AZ217" i="1" s="1"/>
  <c r="X217" i="1" s="1"/>
  <c r="Q33" i="9" s="1"/>
  <c r="AW167" i="1"/>
  <c r="BB167" i="1" s="1"/>
  <c r="Z167" i="1" s="1"/>
  <c r="O64" i="9" s="1"/>
  <c r="AU255" i="1"/>
  <c r="AZ255" i="1" s="1"/>
  <c r="X255" i="1" s="1"/>
  <c r="AU257" i="1"/>
  <c r="AZ257" i="1" s="1"/>
  <c r="X257" i="1" s="1"/>
  <c r="Q65" i="9" s="1"/>
  <c r="AW254" i="1"/>
  <c r="BB254" i="1" s="1"/>
  <c r="Z254" i="1" s="1"/>
  <c r="S62" i="9" s="1"/>
  <c r="AU254" i="1"/>
  <c r="AU259" i="1"/>
  <c r="AZ259" i="1" s="1"/>
  <c r="X259" i="1" s="1"/>
  <c r="Q67" i="9" s="1"/>
  <c r="AU258" i="1"/>
  <c r="AZ258" i="1" s="1"/>
  <c r="X258" i="1" s="1"/>
  <c r="Q66" i="9" s="1"/>
  <c r="AW257" i="1"/>
  <c r="BB257" i="1" s="1"/>
  <c r="Z257" i="1" s="1"/>
  <c r="S65" i="9" s="1"/>
  <c r="AW255" i="1"/>
  <c r="BB255" i="1" s="1"/>
  <c r="Z255" i="1" s="1"/>
  <c r="S63" i="9" s="1"/>
  <c r="AW256" i="1"/>
  <c r="BB256" i="1" s="1"/>
  <c r="Z256" i="1" s="1"/>
  <c r="S64" i="9" s="1"/>
  <c r="AU256" i="1"/>
  <c r="AZ256" i="1" s="1"/>
  <c r="X256" i="1" s="1"/>
  <c r="Q64" i="9" s="1"/>
  <c r="AU239" i="1"/>
  <c r="AZ239" i="1" s="1"/>
  <c r="X239" i="1" s="1"/>
  <c r="Q51" i="9" s="1"/>
  <c r="AU237" i="1"/>
  <c r="AZ237" i="1" s="1"/>
  <c r="X237" i="1" s="1"/>
  <c r="Q49" i="9" s="1"/>
  <c r="AU234" i="1"/>
  <c r="AW236" i="1"/>
  <c r="BB236" i="1" s="1"/>
  <c r="Z236" i="1" s="1"/>
  <c r="S48" i="9" s="1"/>
  <c r="AU235" i="1"/>
  <c r="AZ235" i="1" s="1"/>
  <c r="X235" i="1" s="1"/>
  <c r="AW235" i="1"/>
  <c r="BB235" i="1" s="1"/>
  <c r="Z235" i="1" s="1"/>
  <c r="S47" i="9" s="1"/>
  <c r="AW237" i="1"/>
  <c r="BB237" i="1" s="1"/>
  <c r="Z237" i="1" s="1"/>
  <c r="S49" i="9" s="1"/>
  <c r="AU238" i="1"/>
  <c r="AZ238" i="1" s="1"/>
  <c r="X238" i="1" s="1"/>
  <c r="Q50" i="9" s="1"/>
  <c r="AW234" i="1"/>
  <c r="BB234" i="1" s="1"/>
  <c r="Z234" i="1" s="1"/>
  <c r="S46" i="9" s="1"/>
  <c r="AU236" i="1"/>
  <c r="AZ236" i="1" s="1"/>
  <c r="X236" i="1" s="1"/>
  <c r="Q48" i="9" s="1"/>
  <c r="AP135" i="1"/>
  <c r="AR139" i="1" s="1"/>
  <c r="AV134" i="1" s="1"/>
  <c r="AU78" i="1"/>
  <c r="AZ78" i="1" s="1"/>
  <c r="X78" i="1" s="1"/>
  <c r="I64" i="9" s="1"/>
  <c r="U64" i="9" s="1"/>
  <c r="M9" i="9"/>
  <c r="O7" i="9"/>
  <c r="X94" i="1"/>
  <c r="CP47" i="1"/>
  <c r="CQ47" i="1" s="1"/>
  <c r="O8" i="9"/>
  <c r="W8" i="9" l="1"/>
  <c r="U9" i="9"/>
  <c r="AW205" i="1"/>
  <c r="BB205" i="1" s="1"/>
  <c r="Z205" i="1" s="1"/>
  <c r="Z195" i="1" s="1"/>
  <c r="AU206" i="1"/>
  <c r="AZ206" i="1" s="1"/>
  <c r="X206" i="1" s="1"/>
  <c r="Q24" i="9" s="1"/>
  <c r="AW78" i="1"/>
  <c r="BB78" i="1" s="1"/>
  <c r="Z78" i="1" s="1"/>
  <c r="K64" i="9" s="1"/>
  <c r="W64" i="9" s="1"/>
  <c r="AU81" i="1"/>
  <c r="AZ81" i="1" s="1"/>
  <c r="X81" i="1" s="1"/>
  <c r="I67" i="9" s="1"/>
  <c r="U67" i="9" s="1"/>
  <c r="AU209" i="1"/>
  <c r="AZ209" i="1" s="1"/>
  <c r="X209" i="1" s="1"/>
  <c r="X199" i="1" s="1"/>
  <c r="W7" i="9"/>
  <c r="BK11" i="9" s="1"/>
  <c r="BP35" i="9" s="1"/>
  <c r="AU208" i="1"/>
  <c r="AZ208" i="1" s="1"/>
  <c r="X208" i="1" s="1"/>
  <c r="Q26" i="9" s="1"/>
  <c r="U7" i="9"/>
  <c r="AU207" i="1"/>
  <c r="AZ207" i="1" s="1"/>
  <c r="X207" i="1" s="1"/>
  <c r="X197" i="1" s="1"/>
  <c r="BB169" i="1"/>
  <c r="Z169" i="1" s="1"/>
  <c r="AU120" i="1"/>
  <c r="AZ120" i="1" s="1"/>
  <c r="AU118" i="1"/>
  <c r="AZ118" i="1" s="1"/>
  <c r="AU119" i="1"/>
  <c r="AZ119" i="1" s="1"/>
  <c r="X119" i="1" s="1"/>
  <c r="M26" i="9" s="1"/>
  <c r="AW116" i="1"/>
  <c r="BB116" i="1" s="1"/>
  <c r="Z116" i="1" s="1"/>
  <c r="O23" i="9" s="1"/>
  <c r="AU116" i="1"/>
  <c r="AZ116" i="1" s="1"/>
  <c r="AW117" i="1"/>
  <c r="BB117" i="1" s="1"/>
  <c r="AW115" i="1"/>
  <c r="BB115" i="1" s="1"/>
  <c r="AU117" i="1"/>
  <c r="AZ117" i="1" s="1"/>
  <c r="AW118" i="1"/>
  <c r="BB118" i="1" s="1"/>
  <c r="AU115" i="1"/>
  <c r="AU205" i="1"/>
  <c r="AZ205" i="1" s="1"/>
  <c r="X205" i="1" s="1"/>
  <c r="X195" i="1" s="1"/>
  <c r="AU204" i="1"/>
  <c r="AW207" i="1"/>
  <c r="BB207" i="1" s="1"/>
  <c r="Z207" i="1" s="1"/>
  <c r="S25" i="9" s="1"/>
  <c r="AW206" i="1"/>
  <c r="BB206" i="1" s="1"/>
  <c r="Z206" i="1" s="1"/>
  <c r="S24" i="9" s="1"/>
  <c r="X165" i="1"/>
  <c r="M62" i="9" s="1"/>
  <c r="AU197" i="1"/>
  <c r="AZ197" i="1" s="1"/>
  <c r="AU195" i="1"/>
  <c r="AZ195" i="1" s="1"/>
  <c r="AW196" i="1"/>
  <c r="BB196" i="1" s="1"/>
  <c r="AW197" i="1"/>
  <c r="BB197" i="1" s="1"/>
  <c r="AU196" i="1"/>
  <c r="AZ196" i="1" s="1"/>
  <c r="BE196" i="1" s="1"/>
  <c r="BE206" i="1" s="1"/>
  <c r="AU199" i="1"/>
  <c r="AZ199" i="1" s="1"/>
  <c r="AU194" i="1"/>
  <c r="AW194" i="1"/>
  <c r="BB194" i="1" s="1"/>
  <c r="BG194" i="1" s="1"/>
  <c r="BQ194" i="1" s="1"/>
  <c r="AU198" i="1"/>
  <c r="AZ198" i="1" s="1"/>
  <c r="AW195" i="1"/>
  <c r="BB195" i="1" s="1"/>
  <c r="AU106" i="1"/>
  <c r="AZ106" i="1" s="1"/>
  <c r="AU107" i="1"/>
  <c r="AZ107" i="1" s="1"/>
  <c r="AW105" i="1"/>
  <c r="BB105" i="1" s="1"/>
  <c r="AW107" i="1"/>
  <c r="BB107" i="1" s="1"/>
  <c r="AU108" i="1"/>
  <c r="AZ108" i="1" s="1"/>
  <c r="AW106" i="1"/>
  <c r="BB106" i="1" s="1"/>
  <c r="AU109" i="1"/>
  <c r="AZ109" i="1" s="1"/>
  <c r="AU110" i="1"/>
  <c r="AZ110" i="1" s="1"/>
  <c r="AU21" i="1" s="1"/>
  <c r="AZ21" i="1" s="1"/>
  <c r="AW108" i="1"/>
  <c r="BB108" i="1" s="1"/>
  <c r="AU105" i="1"/>
  <c r="AW170" i="1"/>
  <c r="AW169" i="1"/>
  <c r="AU79" i="1"/>
  <c r="AZ79" i="1" s="1"/>
  <c r="X79" i="1" s="1"/>
  <c r="I65" i="9" s="1"/>
  <c r="U65" i="9" s="1"/>
  <c r="AW77" i="1"/>
  <c r="BB77" i="1" s="1"/>
  <c r="Z77" i="1" s="1"/>
  <c r="K63" i="9" s="1"/>
  <c r="CM42" i="1"/>
  <c r="X5" i="1"/>
  <c r="I6" i="9" s="1"/>
  <c r="Q47" i="9"/>
  <c r="A50" i="9" s="1"/>
  <c r="K233" i="1"/>
  <c r="AZ214" i="1"/>
  <c r="AW218" i="1"/>
  <c r="AW219" i="1"/>
  <c r="AU59" i="1"/>
  <c r="AZ59" i="1" s="1"/>
  <c r="X59" i="1" s="1"/>
  <c r="I49" i="9" s="1"/>
  <c r="X148" i="1"/>
  <c r="M49" i="9" s="1"/>
  <c r="Z147" i="1"/>
  <c r="O48" i="9" s="1"/>
  <c r="AW58" i="1"/>
  <c r="BB58" i="1" s="1"/>
  <c r="Z58" i="1" s="1"/>
  <c r="K48" i="9" s="1"/>
  <c r="Z125" i="1"/>
  <c r="O30" i="9" s="1"/>
  <c r="AW36" i="1"/>
  <c r="BB36" i="1" s="1"/>
  <c r="Z36" i="1" s="1"/>
  <c r="K30" i="9" s="1"/>
  <c r="Z128" i="1"/>
  <c r="AW39" i="1"/>
  <c r="BB39" i="1" s="1"/>
  <c r="Z39" i="1" s="1"/>
  <c r="K33" i="9" s="1"/>
  <c r="AW79" i="1"/>
  <c r="BB79" i="1" s="1"/>
  <c r="Z79" i="1" s="1"/>
  <c r="K65" i="9" s="1"/>
  <c r="W65" i="9" s="1"/>
  <c r="BM65" i="9" s="1"/>
  <c r="AU80" i="1"/>
  <c r="AZ80" i="1" s="1"/>
  <c r="X80" i="1" s="1"/>
  <c r="I66" i="9" s="1"/>
  <c r="U66" i="9" s="1"/>
  <c r="Q31" i="9"/>
  <c r="A34" i="9" s="1"/>
  <c r="K213" i="1"/>
  <c r="AU57" i="1"/>
  <c r="AZ57" i="1" s="1"/>
  <c r="X57" i="1" s="1"/>
  <c r="I47" i="9" s="1"/>
  <c r="X146" i="1"/>
  <c r="M47" i="9" s="1"/>
  <c r="Z146" i="1"/>
  <c r="O47" i="9" s="1"/>
  <c r="AW57" i="1"/>
  <c r="BB57" i="1" s="1"/>
  <c r="Z57" i="1" s="1"/>
  <c r="K47" i="9" s="1"/>
  <c r="Z148" i="1"/>
  <c r="O49" i="9" s="1"/>
  <c r="AW59" i="1"/>
  <c r="BB59" i="1" s="1"/>
  <c r="Z59" i="1" s="1"/>
  <c r="K49" i="9" s="1"/>
  <c r="AR159" i="1"/>
  <c r="AV154" i="1" s="1"/>
  <c r="AW76" i="1"/>
  <c r="BB76" i="1" s="1"/>
  <c r="Z76" i="1" s="1"/>
  <c r="K62" i="9" s="1"/>
  <c r="W62" i="9" s="1"/>
  <c r="Q39" i="9"/>
  <c r="A42" i="9" s="1"/>
  <c r="K223" i="1"/>
  <c r="X127" i="1"/>
  <c r="AU38" i="1"/>
  <c r="AZ38" i="1" s="1"/>
  <c r="X38" i="1" s="1"/>
  <c r="I32" i="9" s="1"/>
  <c r="X130" i="1"/>
  <c r="AU41" i="1"/>
  <c r="AZ41" i="1" s="1"/>
  <c r="X41" i="1" s="1"/>
  <c r="I35" i="9" s="1"/>
  <c r="X126" i="1"/>
  <c r="AU37" i="1"/>
  <c r="AZ37" i="1" s="1"/>
  <c r="X37" i="1" s="1"/>
  <c r="I31" i="9" s="1"/>
  <c r="AU135" i="1"/>
  <c r="AW137" i="1"/>
  <c r="BB137" i="1" s="1"/>
  <c r="AW136" i="1"/>
  <c r="BB136" i="1" s="1"/>
  <c r="AU136" i="1"/>
  <c r="AZ136" i="1" s="1"/>
  <c r="AU137" i="1"/>
  <c r="AZ137" i="1" s="1"/>
  <c r="AW135" i="1"/>
  <c r="BB135" i="1" s="1"/>
  <c r="AU139" i="1"/>
  <c r="AZ139" i="1" s="1"/>
  <c r="AU138" i="1"/>
  <c r="AZ138" i="1" s="1"/>
  <c r="AU140" i="1"/>
  <c r="AZ140" i="1" s="1"/>
  <c r="AW138" i="1"/>
  <c r="BB138" i="1" s="1"/>
  <c r="AZ234" i="1"/>
  <c r="AW239" i="1"/>
  <c r="AW238" i="1"/>
  <c r="Q63" i="9"/>
  <c r="A66" i="9" s="1"/>
  <c r="K253" i="1"/>
  <c r="X150" i="1"/>
  <c r="M51" i="9" s="1"/>
  <c r="AU61" i="1"/>
  <c r="AZ61" i="1" s="1"/>
  <c r="X61" i="1" s="1"/>
  <c r="I51" i="9" s="1"/>
  <c r="AZ145" i="1"/>
  <c r="AW150" i="1"/>
  <c r="AW149" i="1"/>
  <c r="Z145" i="1"/>
  <c r="O46" i="9" s="1"/>
  <c r="AW56" i="1"/>
  <c r="BB56" i="1" s="1"/>
  <c r="Z56" i="1" s="1"/>
  <c r="K46" i="9" s="1"/>
  <c r="X128" i="1"/>
  <c r="AU39" i="1"/>
  <c r="AZ39" i="1" s="1"/>
  <c r="X39" i="1" s="1"/>
  <c r="I33" i="9" s="1"/>
  <c r="Z127" i="1"/>
  <c r="AW38" i="1"/>
  <c r="BB38" i="1" s="1"/>
  <c r="Z38" i="1" s="1"/>
  <c r="K32" i="9" s="1"/>
  <c r="X129" i="1"/>
  <c r="AU40" i="1"/>
  <c r="AZ40" i="1" s="1"/>
  <c r="X40" i="1" s="1"/>
  <c r="I34" i="9" s="1"/>
  <c r="W63" i="9"/>
  <c r="AW259" i="1"/>
  <c r="AW258" i="1"/>
  <c r="AZ254" i="1"/>
  <c r="AZ244" i="1"/>
  <c r="AW249" i="1"/>
  <c r="AW248" i="1"/>
  <c r="Q55" i="9"/>
  <c r="A58" i="9" s="1"/>
  <c r="K243" i="1"/>
  <c r="CP65" i="1"/>
  <c r="CQ65" i="1" s="1"/>
  <c r="X183" i="1"/>
  <c r="X149" i="1"/>
  <c r="M50" i="9" s="1"/>
  <c r="AU60" i="1"/>
  <c r="AZ60" i="1" s="1"/>
  <c r="X60" i="1" s="1"/>
  <c r="I50" i="9" s="1"/>
  <c r="X147" i="1"/>
  <c r="M48" i="9" s="1"/>
  <c r="AU58" i="1"/>
  <c r="AZ58" i="1" s="1"/>
  <c r="X58" i="1" s="1"/>
  <c r="I48" i="9" s="1"/>
  <c r="AZ224" i="1"/>
  <c r="AW229" i="1"/>
  <c r="AW228" i="1"/>
  <c r="AZ125" i="1"/>
  <c r="AW129" i="1"/>
  <c r="AW130" i="1"/>
  <c r="Z126" i="1"/>
  <c r="O31" i="9" s="1"/>
  <c r="AW37" i="1"/>
  <c r="BB37" i="1" s="1"/>
  <c r="Z37" i="1" s="1"/>
  <c r="K31" i="9" s="1"/>
  <c r="AU77" i="1"/>
  <c r="AZ77" i="1" s="1"/>
  <c r="X77" i="1" s="1"/>
  <c r="I63" i="9" s="1"/>
  <c r="BR57" i="9"/>
  <c r="BR49" i="9"/>
  <c r="BR33" i="9"/>
  <c r="BR41" i="9"/>
  <c r="BR65" i="9"/>
  <c r="BM8" i="9"/>
  <c r="BR48" i="9" s="1"/>
  <c r="Z98" i="1"/>
  <c r="M6" i="9"/>
  <c r="S23" i="9"/>
  <c r="X198" i="1"/>
  <c r="S22" i="9"/>
  <c r="Z194" i="1"/>
  <c r="CD9" i="9"/>
  <c r="BY17" i="9"/>
  <c r="X196" i="1" l="1"/>
  <c r="Q25" i="9"/>
  <c r="BG195" i="1"/>
  <c r="BQ195" i="1" s="1"/>
  <c r="BG196" i="1"/>
  <c r="BG206" i="1" s="1"/>
  <c r="BM63" i="9"/>
  <c r="Q27" i="9"/>
  <c r="BL195" i="1"/>
  <c r="Q23" i="9"/>
  <c r="AW19" i="1"/>
  <c r="BB19" i="1" s="1"/>
  <c r="BG204" i="1"/>
  <c r="BL204" i="1" s="1"/>
  <c r="BE199" i="1"/>
  <c r="BE209" i="1" s="1"/>
  <c r="BE198" i="1"/>
  <c r="BE208" i="1" s="1"/>
  <c r="BJ208" i="1" s="1"/>
  <c r="BE197" i="1"/>
  <c r="BO197" i="1" s="1"/>
  <c r="BO196" i="1"/>
  <c r="BB171" i="1"/>
  <c r="BM6" i="9"/>
  <c r="BR30" i="9" s="1"/>
  <c r="BJ196" i="1"/>
  <c r="BK7" i="9"/>
  <c r="BP47" i="9" s="1"/>
  <c r="BK8" i="9"/>
  <c r="BP64" i="9" s="1"/>
  <c r="AU18" i="1"/>
  <c r="AZ18" i="1" s="1"/>
  <c r="BM7" i="9"/>
  <c r="BR39" i="9" s="1"/>
  <c r="AU19" i="1"/>
  <c r="AZ19" i="1" s="1"/>
  <c r="BK10" i="9"/>
  <c r="BP10" i="9" s="1"/>
  <c r="BW10" i="9" s="1"/>
  <c r="BW18" i="9" s="1"/>
  <c r="BW26" i="9" s="1"/>
  <c r="BK9" i="9"/>
  <c r="BP9" i="9" s="1"/>
  <c r="BW9" i="9" s="1"/>
  <c r="BW17" i="9" s="1"/>
  <c r="Z197" i="1"/>
  <c r="Z196" i="1"/>
  <c r="Z288" i="1" s="1"/>
  <c r="W46" i="9"/>
  <c r="BG197" i="1"/>
  <c r="BG207" i="1" s="1"/>
  <c r="BG217" i="1" s="1"/>
  <c r="K203" i="1"/>
  <c r="AE169" i="1"/>
  <c r="AU30" i="1"/>
  <c r="AZ30" i="1" s="1"/>
  <c r="X30" i="1" s="1"/>
  <c r="I26" i="9" s="1"/>
  <c r="U26" i="9" s="1"/>
  <c r="AW208" i="1"/>
  <c r="AZ204" i="1"/>
  <c r="X117" i="1"/>
  <c r="M24" i="9" s="1"/>
  <c r="AU28" i="1"/>
  <c r="AZ28" i="1" s="1"/>
  <c r="X28" i="1" s="1"/>
  <c r="I24" i="9" s="1"/>
  <c r="AW27" i="1"/>
  <c r="BB27" i="1" s="1"/>
  <c r="Z27" i="1" s="1"/>
  <c r="K23" i="9" s="1"/>
  <c r="W23" i="9" s="1"/>
  <c r="Z115" i="1"/>
  <c r="O22" i="9" s="1"/>
  <c r="AW26" i="1"/>
  <c r="BB26" i="1" s="1"/>
  <c r="Z26" i="1" s="1"/>
  <c r="K22" i="9" s="1"/>
  <c r="BL194" i="1"/>
  <c r="BL197" i="1"/>
  <c r="Z9" i="1"/>
  <c r="AE9" i="1" s="1"/>
  <c r="AW209" i="1"/>
  <c r="AU20" i="1"/>
  <c r="AZ20" i="1" s="1"/>
  <c r="AW16" i="1"/>
  <c r="BB16" i="1" s="1"/>
  <c r="AZ115" i="1"/>
  <c r="AW119" i="1"/>
  <c r="AW120" i="1"/>
  <c r="Z117" i="1"/>
  <c r="O24" i="9" s="1"/>
  <c r="AW28" i="1"/>
  <c r="BB28" i="1" s="1"/>
  <c r="Z28" i="1" s="1"/>
  <c r="K24" i="9" s="1"/>
  <c r="X118" i="1"/>
  <c r="M25" i="9" s="1"/>
  <c r="AU29" i="1"/>
  <c r="AZ29" i="1" s="1"/>
  <c r="X29" i="1" s="1"/>
  <c r="I25" i="9" s="1"/>
  <c r="W47" i="9"/>
  <c r="W48" i="9"/>
  <c r="Z118" i="1"/>
  <c r="O25" i="9" s="1"/>
  <c r="AW29" i="1"/>
  <c r="BB29" i="1" s="1"/>
  <c r="Z29" i="1" s="1"/>
  <c r="K25" i="9" s="1"/>
  <c r="X116" i="1"/>
  <c r="M23" i="9" s="1"/>
  <c r="AU27" i="1"/>
  <c r="AZ27" i="1" s="1"/>
  <c r="X27" i="1" s="1"/>
  <c r="I23" i="9" s="1"/>
  <c r="X120" i="1"/>
  <c r="M27" i="9" s="1"/>
  <c r="AU31" i="1"/>
  <c r="AZ31" i="1" s="1"/>
  <c r="X31" i="1" s="1"/>
  <c r="I27" i="9" s="1"/>
  <c r="AW18" i="1"/>
  <c r="BB18" i="1" s="1"/>
  <c r="AW199" i="1"/>
  <c r="AZ194" i="1"/>
  <c r="AW198" i="1"/>
  <c r="U63" i="9"/>
  <c r="BK63" i="9" s="1"/>
  <c r="AZ105" i="1"/>
  <c r="BB109" i="1" s="1"/>
  <c r="BB111" i="1" s="1"/>
  <c r="AW110" i="1"/>
  <c r="AW109" i="1"/>
  <c r="AW17" i="1"/>
  <c r="BB17" i="1" s="1"/>
  <c r="BQ196" i="1"/>
  <c r="AU17" i="1"/>
  <c r="AZ17" i="1" s="1"/>
  <c r="BE195" i="1"/>
  <c r="BL196" i="1"/>
  <c r="BM64" i="9"/>
  <c r="BK64" i="9"/>
  <c r="BK65" i="9"/>
  <c r="BM62" i="9"/>
  <c r="BK66" i="9"/>
  <c r="BK67" i="9"/>
  <c r="U50" i="9"/>
  <c r="U47" i="9"/>
  <c r="U49" i="9"/>
  <c r="X244" i="1"/>
  <c r="Q54" i="9" s="1"/>
  <c r="BB248" i="1"/>
  <c r="M34" i="9"/>
  <c r="U34" i="9" s="1"/>
  <c r="M33" i="9"/>
  <c r="U33" i="9" s="1"/>
  <c r="BB238" i="1"/>
  <c r="X234" i="1"/>
  <c r="Q46" i="9" s="1"/>
  <c r="X139" i="1"/>
  <c r="M42" i="9" s="1"/>
  <c r="AU50" i="1"/>
  <c r="AZ50" i="1" s="1"/>
  <c r="AW47" i="1"/>
  <c r="BB47" i="1" s="1"/>
  <c r="Z136" i="1"/>
  <c r="X224" i="1"/>
  <c r="Q38" i="9" s="1"/>
  <c r="BB228" i="1"/>
  <c r="AU76" i="1"/>
  <c r="BB258" i="1"/>
  <c r="X254" i="1"/>
  <c r="Q62" i="9" s="1"/>
  <c r="X145" i="1"/>
  <c r="BB149" i="1"/>
  <c r="AU56" i="1"/>
  <c r="Z138" i="1"/>
  <c r="O41" i="9" s="1"/>
  <c r="AW49" i="1"/>
  <c r="BB49" i="1" s="1"/>
  <c r="AW46" i="1"/>
  <c r="BB46" i="1" s="1"/>
  <c r="Z135" i="1"/>
  <c r="AW48" i="1"/>
  <c r="BB48" i="1" s="1"/>
  <c r="Z137" i="1"/>
  <c r="O40" i="9" s="1"/>
  <c r="M31" i="9"/>
  <c r="U31" i="9" s="1"/>
  <c r="M32" i="9"/>
  <c r="U32" i="9" s="1"/>
  <c r="W31" i="9"/>
  <c r="BB129" i="1"/>
  <c r="X125" i="1"/>
  <c r="U48" i="9"/>
  <c r="Q6" i="9"/>
  <c r="U6" i="9" s="1"/>
  <c r="AJ7" i="9" s="1"/>
  <c r="Z187" i="1"/>
  <c r="O32" i="9"/>
  <c r="W32" i="9" s="1"/>
  <c r="U51" i="9"/>
  <c r="X140" i="1"/>
  <c r="M43" i="9" s="1"/>
  <c r="AU51" i="1"/>
  <c r="AZ51" i="1" s="1"/>
  <c r="X137" i="1"/>
  <c r="M40" i="9" s="1"/>
  <c r="AU48" i="1"/>
  <c r="AZ48" i="1" s="1"/>
  <c r="AZ135" i="1"/>
  <c r="AW140" i="1"/>
  <c r="AW139" i="1"/>
  <c r="AU159" i="1"/>
  <c r="AZ159" i="1" s="1"/>
  <c r="AW158" i="1"/>
  <c r="BB158" i="1" s="1"/>
  <c r="BG108" i="1" s="1"/>
  <c r="AU158" i="1"/>
  <c r="AZ158" i="1" s="1"/>
  <c r="BE108" i="1" s="1"/>
  <c r="AU156" i="1"/>
  <c r="AZ156" i="1" s="1"/>
  <c r="BE106" i="1" s="1"/>
  <c r="AU157" i="1"/>
  <c r="AZ157" i="1" s="1"/>
  <c r="AW155" i="1"/>
  <c r="BB155" i="1" s="1"/>
  <c r="BG105" i="1" s="1"/>
  <c r="AU155" i="1"/>
  <c r="AU160" i="1"/>
  <c r="AZ160" i="1" s="1"/>
  <c r="BE110" i="1" s="1"/>
  <c r="AW156" i="1"/>
  <c r="BB156" i="1" s="1"/>
  <c r="AW157" i="1"/>
  <c r="BB157" i="1" s="1"/>
  <c r="O33" i="9"/>
  <c r="W33" i="9" s="1"/>
  <c r="BM33" i="9" s="1"/>
  <c r="AU49" i="1"/>
  <c r="AZ49" i="1" s="1"/>
  <c r="X138" i="1"/>
  <c r="M41" i="9" s="1"/>
  <c r="AU47" i="1"/>
  <c r="AZ47" i="1" s="1"/>
  <c r="X136" i="1"/>
  <c r="M39" i="9" s="1"/>
  <c r="M35" i="9"/>
  <c r="U35" i="9" s="1"/>
  <c r="W49" i="9"/>
  <c r="BM49" i="9" s="1"/>
  <c r="W30" i="9"/>
  <c r="AU36" i="1"/>
  <c r="X214" i="1"/>
  <c r="Q30" i="9" s="1"/>
  <c r="BB218" i="1"/>
  <c r="BP43" i="9"/>
  <c r="BP67" i="9"/>
  <c r="BP51" i="9"/>
  <c r="BP11" i="9"/>
  <c r="BW11" i="9" s="1"/>
  <c r="BW19" i="9" s="1"/>
  <c r="BR64" i="9"/>
  <c r="BR32" i="9"/>
  <c r="BR56" i="9"/>
  <c r="BR8" i="9"/>
  <c r="BY8" i="9" s="1"/>
  <c r="BY16" i="9" s="1"/>
  <c r="BY24" i="9" s="1"/>
  <c r="BR40" i="9"/>
  <c r="AE100" i="1"/>
  <c r="Y100" i="1"/>
  <c r="AE98" i="1"/>
  <c r="O10" i="9"/>
  <c r="Q18" i="9"/>
  <c r="X290" i="1"/>
  <c r="AK198" i="1"/>
  <c r="AK204" i="1" s="1"/>
  <c r="AD187" i="1" s="1"/>
  <c r="Z287" i="1"/>
  <c r="AM195" i="1"/>
  <c r="AM201" i="1" s="1"/>
  <c r="AD190" i="1" s="1"/>
  <c r="S15" i="9"/>
  <c r="BG216" i="1"/>
  <c r="BL206" i="1"/>
  <c r="Z286" i="1"/>
  <c r="AM194" i="1"/>
  <c r="AM200" i="1" s="1"/>
  <c r="AD189" i="1" s="1"/>
  <c r="S14" i="9"/>
  <c r="AK195" i="1"/>
  <c r="AK201" i="1" s="1"/>
  <c r="AD184" i="1" s="1"/>
  <c r="X287" i="1"/>
  <c r="Q15" i="9"/>
  <c r="BJ206" i="1"/>
  <c r="BE216" i="1"/>
  <c r="AK196" i="1"/>
  <c r="AK202" i="1" s="1"/>
  <c r="AD185" i="1" s="1"/>
  <c r="X288" i="1"/>
  <c r="Q16" i="9"/>
  <c r="Q19" i="9"/>
  <c r="X291" i="1"/>
  <c r="AK199" i="1"/>
  <c r="AK205" i="1" s="1"/>
  <c r="AD188" i="1" s="1"/>
  <c r="X289" i="1"/>
  <c r="AK197" i="1"/>
  <c r="AK203" i="1" s="1"/>
  <c r="AD186" i="1" s="1"/>
  <c r="Q17" i="9"/>
  <c r="O66" i="9"/>
  <c r="AE168" i="1"/>
  <c r="BY25" i="9"/>
  <c r="CD17" i="9"/>
  <c r="BG205" i="1" l="1"/>
  <c r="BL205" i="1" s="1"/>
  <c r="CB10" i="9"/>
  <c r="BP50" i="9"/>
  <c r="BP66" i="9"/>
  <c r="BP42" i="9"/>
  <c r="A26" i="9"/>
  <c r="BP34" i="9"/>
  <c r="BG214" i="1"/>
  <c r="BL214" i="1" s="1"/>
  <c r="BP49" i="9"/>
  <c r="BE218" i="1"/>
  <c r="BE228" i="1" s="1"/>
  <c r="BR38" i="9"/>
  <c r="BP41" i="9"/>
  <c r="BR62" i="9"/>
  <c r="CB9" i="9"/>
  <c r="BP65" i="9"/>
  <c r="BP33" i="9"/>
  <c r="S16" i="9"/>
  <c r="AE11" i="1"/>
  <c r="BO199" i="1"/>
  <c r="BJ198" i="1"/>
  <c r="BL207" i="1"/>
  <c r="BJ209" i="1"/>
  <c r="BE219" i="1"/>
  <c r="BJ219" i="1" s="1"/>
  <c r="BJ199" i="1"/>
  <c r="BR6" i="9"/>
  <c r="BY6" i="9" s="1"/>
  <c r="BY14" i="9" s="1"/>
  <c r="CD14" i="9" s="1"/>
  <c r="BJ197" i="1"/>
  <c r="BR46" i="9"/>
  <c r="BE207" i="1"/>
  <c r="BO198" i="1"/>
  <c r="BP39" i="9"/>
  <c r="BP63" i="9"/>
  <c r="BP7" i="9"/>
  <c r="BW7" i="9" s="1"/>
  <c r="CB7" i="9" s="1"/>
  <c r="BR47" i="9"/>
  <c r="AM196" i="1"/>
  <c r="AM202" i="1" s="1"/>
  <c r="AD191" i="1" s="1"/>
  <c r="BP31" i="9"/>
  <c r="BR31" i="9"/>
  <c r="BR63" i="9"/>
  <c r="BR7" i="9"/>
  <c r="BY7" i="9" s="1"/>
  <c r="BY15" i="9" s="1"/>
  <c r="CD15" i="9" s="1"/>
  <c r="U27" i="9"/>
  <c r="W25" i="9"/>
  <c r="BM25" i="9" s="1"/>
  <c r="BR25" i="9" s="1"/>
  <c r="BP40" i="9"/>
  <c r="BP32" i="9"/>
  <c r="BP48" i="9"/>
  <c r="BP8" i="9"/>
  <c r="BW8" i="9" s="1"/>
  <c r="CB8" i="9" s="1"/>
  <c r="K193" i="1"/>
  <c r="Y11" i="1"/>
  <c r="S17" i="9"/>
  <c r="K10" i="9"/>
  <c r="BQ197" i="1"/>
  <c r="U25" i="9"/>
  <c r="W22" i="9"/>
  <c r="U24" i="9"/>
  <c r="AM197" i="1"/>
  <c r="AM203" i="1" s="1"/>
  <c r="AD192" i="1" s="1"/>
  <c r="Z289" i="1"/>
  <c r="U23" i="9"/>
  <c r="W24" i="9"/>
  <c r="BM24" i="9" s="1"/>
  <c r="BR24" i="9" s="1"/>
  <c r="AH10" i="9"/>
  <c r="AM34" i="9" s="1"/>
  <c r="X115" i="1"/>
  <c r="M22" i="9" s="1"/>
  <c r="BB119" i="1"/>
  <c r="AU26" i="1"/>
  <c r="BB208" i="1"/>
  <c r="X204" i="1"/>
  <c r="Q22" i="9" s="1"/>
  <c r="BE205" i="1"/>
  <c r="BJ195" i="1"/>
  <c r="BO195" i="1"/>
  <c r="AU16" i="1"/>
  <c r="BB198" i="1"/>
  <c r="BE194" i="1"/>
  <c r="BK32" i="9"/>
  <c r="BK49" i="9"/>
  <c r="BM48" i="9"/>
  <c r="BG118" i="1"/>
  <c r="BL108" i="1"/>
  <c r="BL105" i="1"/>
  <c r="BG115" i="1"/>
  <c r="BK35" i="9"/>
  <c r="BM30" i="9"/>
  <c r="BE118" i="1"/>
  <c r="BJ108" i="1"/>
  <c r="BK34" i="9"/>
  <c r="AW67" i="1"/>
  <c r="BB67" i="1" s="1"/>
  <c r="Z67" i="1" s="1"/>
  <c r="K55" i="9" s="1"/>
  <c r="Z156" i="1"/>
  <c r="O55" i="9" s="1"/>
  <c r="X157" i="1"/>
  <c r="M56" i="9" s="1"/>
  <c r="AU68" i="1"/>
  <c r="AZ68" i="1" s="1"/>
  <c r="X68" i="1" s="1"/>
  <c r="I56" i="9" s="1"/>
  <c r="X159" i="1"/>
  <c r="M58" i="9" s="1"/>
  <c r="AU70" i="1"/>
  <c r="AZ70" i="1" s="1"/>
  <c r="X70" i="1" s="1"/>
  <c r="I58" i="9" s="1"/>
  <c r="X135" i="1"/>
  <c r="AU46" i="1"/>
  <c r="BB139" i="1"/>
  <c r="BJ110" i="1"/>
  <c r="BE120" i="1"/>
  <c r="BK48" i="9"/>
  <c r="BK47" i="9"/>
  <c r="Z46" i="1"/>
  <c r="AZ56" i="1"/>
  <c r="X56" i="1" s="1"/>
  <c r="I46" i="9" s="1"/>
  <c r="AW60" i="1"/>
  <c r="BM32" i="9"/>
  <c r="Z228" i="1"/>
  <c r="BB230" i="1"/>
  <c r="BK31" i="9"/>
  <c r="BE109" i="1"/>
  <c r="Z238" i="1"/>
  <c r="BB240" i="1"/>
  <c r="BB220" i="1"/>
  <c r="Z218" i="1"/>
  <c r="BE116" i="1"/>
  <c r="BJ106" i="1"/>
  <c r="X160" i="1"/>
  <c r="AU71" i="1"/>
  <c r="AZ71" i="1" s="1"/>
  <c r="X71" i="1" s="1"/>
  <c r="I59" i="9" s="1"/>
  <c r="AU67" i="1"/>
  <c r="AZ67" i="1" s="1"/>
  <c r="X67" i="1" s="1"/>
  <c r="I55" i="9" s="1"/>
  <c r="X156" i="1"/>
  <c r="M55" i="9" s="1"/>
  <c r="BE107" i="1"/>
  <c r="X51" i="1"/>
  <c r="M30" i="9"/>
  <c r="Z48" i="1"/>
  <c r="Z149" i="1"/>
  <c r="AE149" i="1" s="1"/>
  <c r="BB151" i="1"/>
  <c r="BG106" i="1"/>
  <c r="X50" i="1"/>
  <c r="BB250" i="1"/>
  <c r="Z248" i="1"/>
  <c r="X49" i="1"/>
  <c r="AW160" i="1"/>
  <c r="AW159" i="1"/>
  <c r="AZ155" i="1"/>
  <c r="X158" i="1"/>
  <c r="M57" i="9" s="1"/>
  <c r="AU69" i="1"/>
  <c r="AZ69" i="1" s="1"/>
  <c r="X69" i="1" s="1"/>
  <c r="I57" i="9" s="1"/>
  <c r="X48" i="1"/>
  <c r="AE187" i="1"/>
  <c r="S10" i="9"/>
  <c r="Y189" i="1"/>
  <c r="AE189" i="1"/>
  <c r="BB131" i="1"/>
  <c r="Z129" i="1"/>
  <c r="BM47" i="9"/>
  <c r="Z49" i="1"/>
  <c r="M46" i="9"/>
  <c r="BB260" i="1"/>
  <c r="Z258" i="1"/>
  <c r="O39" i="9"/>
  <c r="AZ36" i="1"/>
  <c r="X36" i="1" s="1"/>
  <c r="AW40" i="1"/>
  <c r="X47" i="1"/>
  <c r="BK33" i="9"/>
  <c r="Z157" i="1"/>
  <c r="AW68" i="1"/>
  <c r="BB68" i="1" s="1"/>
  <c r="Z68" i="1" s="1"/>
  <c r="K56" i="9" s="1"/>
  <c r="Z155" i="1"/>
  <c r="O54" i="9" s="1"/>
  <c r="AW66" i="1"/>
  <c r="BB66" i="1" s="1"/>
  <c r="Z66" i="1" s="1"/>
  <c r="K54" i="9" s="1"/>
  <c r="AW69" i="1"/>
  <c r="BB69" i="1" s="1"/>
  <c r="Z69" i="1" s="1"/>
  <c r="K57" i="9" s="1"/>
  <c r="Z158" i="1"/>
  <c r="BK51" i="9"/>
  <c r="BM31" i="9"/>
  <c r="BG107" i="1"/>
  <c r="O38" i="9"/>
  <c r="Z105" i="1"/>
  <c r="BM46" i="9"/>
  <c r="AW80" i="1"/>
  <c r="AZ76" i="1"/>
  <c r="X76" i="1" s="1"/>
  <c r="I62" i="9" s="1"/>
  <c r="U62" i="9" s="1"/>
  <c r="BK62" i="9" s="1"/>
  <c r="Z47" i="1"/>
  <c r="BK50" i="9"/>
  <c r="CD16" i="9"/>
  <c r="CD8" i="9"/>
  <c r="CB11" i="9"/>
  <c r="AJ8" i="9"/>
  <c r="AH6" i="9"/>
  <c r="AM38" i="9" s="1"/>
  <c r="CB18" i="9"/>
  <c r="AH8" i="9"/>
  <c r="AM48" i="9" s="1"/>
  <c r="AH11" i="9"/>
  <c r="AM35" i="9" s="1"/>
  <c r="BK6" i="9"/>
  <c r="AH9" i="9"/>
  <c r="AM41" i="9" s="1"/>
  <c r="AJ9" i="9"/>
  <c r="AJ6" i="9"/>
  <c r="AO22" i="9" s="1"/>
  <c r="AH7" i="9"/>
  <c r="BG226" i="1"/>
  <c r="BL216" i="1"/>
  <c r="BG227" i="1"/>
  <c r="BL217" i="1"/>
  <c r="AO7" i="9"/>
  <c r="AV7" i="9" s="1"/>
  <c r="AO23" i="9"/>
  <c r="AO47" i="9"/>
  <c r="AO39" i="9"/>
  <c r="AO63" i="9"/>
  <c r="AO31" i="9"/>
  <c r="BE226" i="1"/>
  <c r="BJ216" i="1"/>
  <c r="CD25" i="9"/>
  <c r="BY33" i="9"/>
  <c r="BW27" i="9"/>
  <c r="CB19" i="9"/>
  <c r="BW25" i="9"/>
  <c r="CB17" i="9"/>
  <c r="BW34" i="9"/>
  <c r="CB26" i="9"/>
  <c r="CD24" i="9"/>
  <c r="BY32" i="9"/>
  <c r="BG215" i="1" l="1"/>
  <c r="BG224" i="1"/>
  <c r="BJ218" i="1"/>
  <c r="BY23" i="9"/>
  <c r="CD23" i="9" s="1"/>
  <c r="CD7" i="9"/>
  <c r="B6" i="9"/>
  <c r="A18" i="9"/>
  <c r="BY22" i="9"/>
  <c r="CD22" i="9" s="1"/>
  <c r="AH64" i="9"/>
  <c r="BE229" i="1"/>
  <c r="BE239" i="1" s="1"/>
  <c r="BW16" i="9"/>
  <c r="CB16" i="9" s="1"/>
  <c r="BW15" i="9"/>
  <c r="CB15" i="9" s="1"/>
  <c r="BE217" i="1"/>
  <c r="BJ207" i="1"/>
  <c r="CD6" i="9"/>
  <c r="AM50" i="9"/>
  <c r="AM66" i="9"/>
  <c r="BK23" i="9"/>
  <c r="BP23" i="9" s="1"/>
  <c r="BK27" i="9"/>
  <c r="BP27" i="9" s="1"/>
  <c r="W10" i="9"/>
  <c r="AM42" i="9"/>
  <c r="AM26" i="9"/>
  <c r="BK24" i="9"/>
  <c r="BP24" i="9" s="1"/>
  <c r="AM10" i="9"/>
  <c r="AT10" i="9" s="1"/>
  <c r="AT18" i="9" s="1"/>
  <c r="BK25" i="9"/>
  <c r="BP25" i="9" s="1"/>
  <c r="BM23" i="9"/>
  <c r="BR23" i="9" s="1"/>
  <c r="BK26" i="9"/>
  <c r="BP26" i="9" s="1"/>
  <c r="BM22" i="9"/>
  <c r="BR22" i="9" s="1"/>
  <c r="AH63" i="9"/>
  <c r="AH65" i="9"/>
  <c r="AH66" i="9"/>
  <c r="BE20" i="1"/>
  <c r="BJ20" i="1" s="1"/>
  <c r="X194" i="1"/>
  <c r="AJ63" i="9"/>
  <c r="AJ62" i="9"/>
  <c r="BE17" i="1"/>
  <c r="BE27" i="1" s="1"/>
  <c r="Z106" i="1"/>
  <c r="Z280" i="1" s="1"/>
  <c r="Z119" i="1"/>
  <c r="BB121" i="1"/>
  <c r="AZ26" i="1"/>
  <c r="X26" i="1" s="1"/>
  <c r="I22" i="9" s="1"/>
  <c r="U22" i="9" s="1"/>
  <c r="AW30" i="1"/>
  <c r="BB210" i="1"/>
  <c r="Z208" i="1"/>
  <c r="AW20" i="1"/>
  <c r="AZ16" i="1"/>
  <c r="AJ65" i="9"/>
  <c r="AH67" i="9"/>
  <c r="AJ64" i="9"/>
  <c r="X109" i="1"/>
  <c r="AK109" i="1" s="1"/>
  <c r="AK115" i="1" s="1"/>
  <c r="AD98" i="1" s="1"/>
  <c r="BE18" i="1"/>
  <c r="BJ18" i="1" s="1"/>
  <c r="Z198" i="1"/>
  <c r="AE197" i="1" s="1"/>
  <c r="BG198" i="1"/>
  <c r="BO194" i="1"/>
  <c r="BQ198" i="1" s="1"/>
  <c r="BE204" i="1"/>
  <c r="BJ194" i="1"/>
  <c r="BL198" i="1" s="1"/>
  <c r="AH62" i="9"/>
  <c r="BG17" i="1"/>
  <c r="BL17" i="1" s="1"/>
  <c r="W54" i="9"/>
  <c r="BE21" i="1"/>
  <c r="BE31" i="1" s="1"/>
  <c r="BB200" i="1"/>
  <c r="BB188" i="1"/>
  <c r="BE215" i="1"/>
  <c r="BJ205" i="1"/>
  <c r="X107" i="1"/>
  <c r="AK107" i="1" s="1"/>
  <c r="AK113" i="1" s="1"/>
  <c r="AD96" i="1" s="1"/>
  <c r="BE19" i="1"/>
  <c r="BJ19" i="1" s="1"/>
  <c r="K39" i="9"/>
  <c r="W39" i="9" s="1"/>
  <c r="Z17" i="1"/>
  <c r="AM105" i="1"/>
  <c r="AM111" i="1" s="1"/>
  <c r="AD100" i="1" s="1"/>
  <c r="O14" i="9"/>
  <c r="Z279" i="1"/>
  <c r="I30" i="9"/>
  <c r="U30" i="9" s="1"/>
  <c r="K41" i="9"/>
  <c r="W41" i="9" s="1"/>
  <c r="BM41" i="9" s="1"/>
  <c r="Z19" i="1"/>
  <c r="BG116" i="1"/>
  <c r="BL106" i="1"/>
  <c r="K40" i="9"/>
  <c r="W40" i="9" s="1"/>
  <c r="Z18" i="1"/>
  <c r="BE126" i="1"/>
  <c r="BJ116" i="1"/>
  <c r="BO116" i="1" s="1"/>
  <c r="AE238" i="1"/>
  <c r="AE237" i="1"/>
  <c r="S50" i="9"/>
  <c r="AE228" i="1"/>
  <c r="AE227" i="1"/>
  <c r="S42" i="9"/>
  <c r="BG16" i="1"/>
  <c r="BJ120" i="1"/>
  <c r="BO120" i="1" s="1"/>
  <c r="BE130" i="1"/>
  <c r="M38" i="9"/>
  <c r="BG125" i="1"/>
  <c r="BL115" i="1"/>
  <c r="BQ115" i="1" s="1"/>
  <c r="BB159" i="1"/>
  <c r="AU66" i="1"/>
  <c r="X155" i="1"/>
  <c r="X105" i="1" s="1"/>
  <c r="BE105" i="1"/>
  <c r="I41" i="9"/>
  <c r="U41" i="9" s="1"/>
  <c r="X19" i="1"/>
  <c r="X108" i="1"/>
  <c r="X106" i="1"/>
  <c r="I43" i="9"/>
  <c r="U43" i="9" s="1"/>
  <c r="X21" i="1"/>
  <c r="AE217" i="1"/>
  <c r="AE218" i="1"/>
  <c r="S34" i="9"/>
  <c r="BE119" i="1"/>
  <c r="BJ109" i="1"/>
  <c r="K38" i="9"/>
  <c r="W38" i="9" s="1"/>
  <c r="Z16" i="1"/>
  <c r="U58" i="9"/>
  <c r="W55" i="9"/>
  <c r="BE128" i="1"/>
  <c r="BJ118" i="1"/>
  <c r="BO118" i="1" s="1"/>
  <c r="X283" i="1"/>
  <c r="BB80" i="1"/>
  <c r="Z80" i="1" s="1"/>
  <c r="AW82" i="1"/>
  <c r="BG117" i="1"/>
  <c r="BL107" i="1"/>
  <c r="O57" i="9"/>
  <c r="W57" i="9" s="1"/>
  <c r="BM57" i="9" s="1"/>
  <c r="Z108" i="1"/>
  <c r="I39" i="9"/>
  <c r="U39" i="9" s="1"/>
  <c r="X17" i="1"/>
  <c r="I40" i="9"/>
  <c r="U40" i="9" s="1"/>
  <c r="X18" i="1"/>
  <c r="O50" i="9"/>
  <c r="AE148" i="1"/>
  <c r="BE117" i="1"/>
  <c r="BJ107" i="1"/>
  <c r="M59" i="9"/>
  <c r="U59" i="9" s="1"/>
  <c r="X110" i="1"/>
  <c r="AW62" i="1"/>
  <c r="BB60" i="1"/>
  <c r="Z60" i="1" s="1"/>
  <c r="BB141" i="1"/>
  <c r="Z139" i="1"/>
  <c r="AE139" i="1" s="1"/>
  <c r="O56" i="9"/>
  <c r="W56" i="9" s="1"/>
  <c r="Z107" i="1"/>
  <c r="AW42" i="1"/>
  <c r="BB40" i="1"/>
  <c r="Z40" i="1" s="1"/>
  <c r="AE40" i="1" s="1"/>
  <c r="AE258" i="1"/>
  <c r="AE257" i="1"/>
  <c r="S66" i="9"/>
  <c r="BG19" i="1"/>
  <c r="AE129" i="1"/>
  <c r="AE128" i="1"/>
  <c r="O34" i="9"/>
  <c r="U57" i="9"/>
  <c r="AE248" i="1"/>
  <c r="AE247" i="1"/>
  <c r="S58" i="9"/>
  <c r="I42" i="9"/>
  <c r="U42" i="9" s="1"/>
  <c r="X20" i="1"/>
  <c r="BG18" i="1"/>
  <c r="U55" i="9"/>
  <c r="U46" i="9"/>
  <c r="AZ46" i="1"/>
  <c r="AW50" i="1"/>
  <c r="U56" i="9"/>
  <c r="BG128" i="1"/>
  <c r="BL118" i="1"/>
  <c r="BQ118" i="1" s="1"/>
  <c r="BP22" i="9"/>
  <c r="AO65" i="9"/>
  <c r="AO56" i="9"/>
  <c r="AM63" i="9"/>
  <c r="BW24" i="9"/>
  <c r="CB24" i="9" s="1"/>
  <c r="BW23" i="9"/>
  <c r="BW31" i="9" s="1"/>
  <c r="AM39" i="9"/>
  <c r="AM64" i="9"/>
  <c r="AM24" i="9"/>
  <c r="AM23" i="9"/>
  <c r="AO32" i="9"/>
  <c r="AO24" i="9"/>
  <c r="AO64" i="9"/>
  <c r="AM47" i="9"/>
  <c r="AM40" i="9"/>
  <c r="AO40" i="9"/>
  <c r="AO8" i="9"/>
  <c r="AV8" i="9" s="1"/>
  <c r="AV16" i="9" s="1"/>
  <c r="AO48" i="9"/>
  <c r="BP30" i="9"/>
  <c r="BQ34" i="9" s="1"/>
  <c r="BP38" i="9"/>
  <c r="BQ42" i="9" s="1"/>
  <c r="BP6" i="9"/>
  <c r="BQ10" i="9" s="1"/>
  <c r="BS10" i="9" s="1"/>
  <c r="BT10" i="9" s="1"/>
  <c r="BP54" i="9"/>
  <c r="BP46" i="9"/>
  <c r="BQ50" i="9" s="1"/>
  <c r="BP62" i="9"/>
  <c r="BQ66" i="9" s="1"/>
  <c r="BS66" i="9" s="1"/>
  <c r="BT66" i="9" s="1"/>
  <c r="AM22" i="9"/>
  <c r="AM62" i="9"/>
  <c r="AM46" i="9"/>
  <c r="AM54" i="9"/>
  <c r="AM30" i="9"/>
  <c r="AM6" i="9"/>
  <c r="AT6" i="9" s="1"/>
  <c r="AO46" i="9"/>
  <c r="AM33" i="9"/>
  <c r="AM49" i="9"/>
  <c r="AM7" i="9"/>
  <c r="AT7" i="9" s="1"/>
  <c r="AT15" i="9" s="1"/>
  <c r="AM31" i="9"/>
  <c r="AM11" i="9"/>
  <c r="AT11" i="9" s="1"/>
  <c r="AY11" i="9" s="1"/>
  <c r="AO9" i="9"/>
  <c r="AV9" i="9" s="1"/>
  <c r="AV17" i="9" s="1"/>
  <c r="AM56" i="9"/>
  <c r="AM8" i="9"/>
  <c r="AT8" i="9" s="1"/>
  <c r="AY8" i="9" s="1"/>
  <c r="AM55" i="9"/>
  <c r="AM67" i="9"/>
  <c r="AO57" i="9"/>
  <c r="AM32" i="9"/>
  <c r="AM59" i="9"/>
  <c r="AO25" i="9"/>
  <c r="AM27" i="9"/>
  <c r="AM43" i="9"/>
  <c r="AO41" i="9"/>
  <c r="AO33" i="9"/>
  <c r="AM51" i="9"/>
  <c r="AO49" i="9"/>
  <c r="AO38" i="9"/>
  <c r="AO6" i="9"/>
  <c r="AV6" i="9" s="1"/>
  <c r="BA6" i="9" s="1"/>
  <c r="AM25" i="9"/>
  <c r="AM65" i="9"/>
  <c r="AO62" i="9"/>
  <c r="AO54" i="9"/>
  <c r="AM57" i="9"/>
  <c r="AO30" i="9"/>
  <c r="AM9" i="9"/>
  <c r="AT9" i="9" s="1"/>
  <c r="AY9" i="9" s="1"/>
  <c r="BG237" i="1"/>
  <c r="BL227" i="1"/>
  <c r="BE236" i="1"/>
  <c r="BJ226" i="1"/>
  <c r="BE238" i="1"/>
  <c r="BJ228" i="1"/>
  <c r="AV15" i="9"/>
  <c r="BA7" i="9"/>
  <c r="BG236" i="1"/>
  <c r="BL226" i="1"/>
  <c r="BG234" i="1"/>
  <c r="BL224" i="1"/>
  <c r="BW33" i="9"/>
  <c r="CB25" i="9"/>
  <c r="CB27" i="9"/>
  <c r="BW35" i="9"/>
  <c r="BW42" i="9"/>
  <c r="CB34" i="9"/>
  <c r="BY40" i="9"/>
  <c r="CD32" i="9"/>
  <c r="BY41" i="9"/>
  <c r="CD33" i="9"/>
  <c r="BY30" i="9" l="1"/>
  <c r="BY31" i="9"/>
  <c r="BL215" i="1"/>
  <c r="BG225" i="1"/>
  <c r="BJ229" i="1"/>
  <c r="S18" i="9"/>
  <c r="BJ217" i="1"/>
  <c r="BE227" i="1"/>
  <c r="BJ21" i="1"/>
  <c r="M18" i="9"/>
  <c r="BG27" i="1"/>
  <c r="BL27" i="1" s="1"/>
  <c r="BQ27" i="1" s="1"/>
  <c r="O15" i="9"/>
  <c r="BE28" i="1"/>
  <c r="BJ28" i="1" s="1"/>
  <c r="BO28" i="1" s="1"/>
  <c r="AY10" i="9"/>
  <c r="BE30" i="1"/>
  <c r="BJ30" i="1" s="1"/>
  <c r="BO30" i="1" s="1"/>
  <c r="BJ17" i="1"/>
  <c r="BQ26" i="9"/>
  <c r="X281" i="1"/>
  <c r="BM38" i="9"/>
  <c r="AE198" i="1"/>
  <c r="Q14" i="9"/>
  <c r="AK194" i="1"/>
  <c r="AM106" i="1"/>
  <c r="AM112" i="1" s="1"/>
  <c r="AD101" i="1" s="1"/>
  <c r="X286" i="1"/>
  <c r="Z290" i="1" s="1"/>
  <c r="BM56" i="9"/>
  <c r="AH24" i="9"/>
  <c r="AJ24" i="9"/>
  <c r="AH27" i="9"/>
  <c r="BK22" i="9"/>
  <c r="AJ23" i="9"/>
  <c r="AH23" i="9"/>
  <c r="AH25" i="9"/>
  <c r="AJ22" i="9"/>
  <c r="AH26" i="9"/>
  <c r="AJ25" i="9"/>
  <c r="AH22" i="9"/>
  <c r="BK42" i="9"/>
  <c r="M16" i="9"/>
  <c r="BE29" i="1"/>
  <c r="BE39" i="1" s="1"/>
  <c r="S26" i="9"/>
  <c r="AE207" i="1"/>
  <c r="AE208" i="1"/>
  <c r="AW32" i="1"/>
  <c r="BB30" i="1"/>
  <c r="Z30" i="1" s="1"/>
  <c r="AE119" i="1"/>
  <c r="AE118" i="1"/>
  <c r="O26" i="9"/>
  <c r="BE225" i="1"/>
  <c r="BJ215" i="1"/>
  <c r="AT16" i="9"/>
  <c r="AT24" i="9" s="1"/>
  <c r="BJ204" i="1"/>
  <c r="BL208" i="1" s="1"/>
  <c r="BG208" i="1"/>
  <c r="BE214" i="1"/>
  <c r="AW22" i="1"/>
  <c r="BB20" i="1"/>
  <c r="BM40" i="9"/>
  <c r="BK59" i="9"/>
  <c r="BP59" i="9" s="1"/>
  <c r="BL128" i="1"/>
  <c r="BQ128" i="1" s="1"/>
  <c r="BG138" i="1"/>
  <c r="BK46" i="9"/>
  <c r="BS50" i="9" s="1"/>
  <c r="BT50" i="9" s="1"/>
  <c r="AJ49" i="9"/>
  <c r="AH51" i="9"/>
  <c r="AH49" i="9"/>
  <c r="AJ47" i="9"/>
  <c r="AH46" i="9"/>
  <c r="AJ48" i="9"/>
  <c r="AH47" i="9"/>
  <c r="AH50" i="9"/>
  <c r="AJ46" i="9"/>
  <c r="AH48" i="9"/>
  <c r="BK57" i="9"/>
  <c r="BP57" i="9" s="1"/>
  <c r="I16" i="9"/>
  <c r="X273" i="1"/>
  <c r="AK18" i="1"/>
  <c r="AK24" i="1" s="1"/>
  <c r="AD7" i="1" s="1"/>
  <c r="BL117" i="1"/>
  <c r="BQ117" i="1" s="1"/>
  <c r="BG127" i="1"/>
  <c r="BM55" i="9"/>
  <c r="BR55" i="9" s="1"/>
  <c r="X280" i="1"/>
  <c r="AK106" i="1"/>
  <c r="AK112" i="1" s="1"/>
  <c r="AD95" i="1" s="1"/>
  <c r="M15" i="9"/>
  <c r="BJ105" i="1"/>
  <c r="BL109" i="1" s="1"/>
  <c r="BE115" i="1"/>
  <c r="BG109" i="1"/>
  <c r="BG135" i="1"/>
  <c r="BL125" i="1"/>
  <c r="BQ125" i="1" s="1"/>
  <c r="Z273" i="1"/>
  <c r="AM18" i="1"/>
  <c r="AM24" i="1" s="1"/>
  <c r="AD13" i="1" s="1"/>
  <c r="K16" i="9"/>
  <c r="BK56" i="9"/>
  <c r="BP56" i="9" s="1"/>
  <c r="BK55" i="9"/>
  <c r="BP55" i="9" s="1"/>
  <c r="BG29" i="1"/>
  <c r="BL19" i="1"/>
  <c r="AE39" i="1"/>
  <c r="K34" i="9"/>
  <c r="W34" i="9" s="1"/>
  <c r="Y35" i="9" s="1"/>
  <c r="BG37" i="1"/>
  <c r="AE60" i="1"/>
  <c r="K50" i="9"/>
  <c r="W50" i="9" s="1"/>
  <c r="Y51" i="9" s="1"/>
  <c r="AE59" i="1"/>
  <c r="BK40" i="9"/>
  <c r="Z282" i="1"/>
  <c r="AM108" i="1"/>
  <c r="AM114" i="1" s="1"/>
  <c r="AD103" i="1" s="1"/>
  <c r="O17" i="9"/>
  <c r="BK58" i="9"/>
  <c r="BP58" i="9" s="1"/>
  <c r="BE129" i="1"/>
  <c r="BJ119" i="1"/>
  <c r="BO119" i="1" s="1"/>
  <c r="X282" i="1"/>
  <c r="M17" i="9"/>
  <c r="AK108" i="1"/>
  <c r="AK114" i="1" s="1"/>
  <c r="AD97" i="1" s="1"/>
  <c r="M54" i="9"/>
  <c r="BG26" i="1"/>
  <c r="BL16" i="1"/>
  <c r="BE136" i="1"/>
  <c r="BJ126" i="1"/>
  <c r="BO126" i="1" s="1"/>
  <c r="AH34" i="9"/>
  <c r="AH30" i="9"/>
  <c r="AH31" i="9"/>
  <c r="AJ30" i="9"/>
  <c r="BK30" i="9"/>
  <c r="BS34" i="9" s="1"/>
  <c r="BT34" i="9" s="1"/>
  <c r="AJ33" i="9"/>
  <c r="AH33" i="9"/>
  <c r="AH35" i="9"/>
  <c r="AH32" i="9"/>
  <c r="AJ32" i="9"/>
  <c r="AJ31" i="9"/>
  <c r="AW52" i="1"/>
  <c r="BB50" i="1"/>
  <c r="BG28" i="1"/>
  <c r="BL18" i="1"/>
  <c r="BE127" i="1"/>
  <c r="BJ117" i="1"/>
  <c r="BO117" i="1" s="1"/>
  <c r="AK17" i="1"/>
  <c r="AK23" i="1" s="1"/>
  <c r="AD6" i="1" s="1"/>
  <c r="X272" i="1"/>
  <c r="I15" i="9"/>
  <c r="AE79" i="1"/>
  <c r="AE80" i="1"/>
  <c r="K66" i="9"/>
  <c r="W66" i="9" s="1"/>
  <c r="Y67" i="9" s="1"/>
  <c r="K14" i="9"/>
  <c r="W14" i="9" s="1"/>
  <c r="AM16" i="1"/>
  <c r="AM22" i="1" s="1"/>
  <c r="AD11" i="1" s="1"/>
  <c r="Z271" i="1"/>
  <c r="X276" i="1"/>
  <c r="I19" i="9"/>
  <c r="AK21" i="1"/>
  <c r="AK27" i="1" s="1"/>
  <c r="AD10" i="1" s="1"/>
  <c r="I17" i="9"/>
  <c r="X274" i="1"/>
  <c r="AK19" i="1"/>
  <c r="AK25" i="1" s="1"/>
  <c r="AD8" i="1" s="1"/>
  <c r="AZ66" i="1"/>
  <c r="X66" i="1" s="1"/>
  <c r="AW70" i="1"/>
  <c r="BE37" i="1"/>
  <c r="BJ27" i="1"/>
  <c r="BO27" i="1" s="1"/>
  <c r="Z274" i="1"/>
  <c r="K17" i="9"/>
  <c r="AM19" i="1"/>
  <c r="AM25" i="1" s="1"/>
  <c r="AD14" i="1" s="1"/>
  <c r="BM54" i="9"/>
  <c r="BR54" i="9" s="1"/>
  <c r="Z272" i="1"/>
  <c r="AM17" i="1"/>
  <c r="AM23" i="1" s="1"/>
  <c r="AD12" i="1" s="1"/>
  <c r="K15" i="9"/>
  <c r="X46" i="1"/>
  <c r="BE16" i="1"/>
  <c r="AK20" i="1"/>
  <c r="AK26" i="1" s="1"/>
  <c r="AD9" i="1" s="1"/>
  <c r="I18" i="9"/>
  <c r="X275" i="1"/>
  <c r="O16" i="9"/>
  <c r="AM107" i="1"/>
  <c r="AM113" i="1" s="1"/>
  <c r="AD102" i="1" s="1"/>
  <c r="Z281" i="1"/>
  <c r="AE138" i="1"/>
  <c r="O42" i="9"/>
  <c r="M19" i="9"/>
  <c r="AK110" i="1"/>
  <c r="AK116" i="1" s="1"/>
  <c r="AD99" i="1" s="1"/>
  <c r="X284" i="1"/>
  <c r="X279" i="1"/>
  <c r="AK105" i="1"/>
  <c r="M14" i="9"/>
  <c r="BK39" i="9"/>
  <c r="BJ128" i="1"/>
  <c r="BO128" i="1" s="1"/>
  <c r="BE138" i="1"/>
  <c r="BK43" i="9"/>
  <c r="BK41" i="9"/>
  <c r="Z159" i="1"/>
  <c r="BB161" i="1"/>
  <c r="BB99" i="1"/>
  <c r="BE140" i="1"/>
  <c r="BJ130" i="1"/>
  <c r="BO130" i="1" s="1"/>
  <c r="BJ31" i="1"/>
  <c r="BO31" i="1" s="1"/>
  <c r="BE41" i="1"/>
  <c r="BG126" i="1"/>
  <c r="BL116" i="1"/>
  <c r="BQ116" i="1" s="1"/>
  <c r="BM39" i="9"/>
  <c r="BA8" i="9"/>
  <c r="CB23" i="9"/>
  <c r="BW32" i="9"/>
  <c r="CB32" i="9" s="1"/>
  <c r="BW6" i="9"/>
  <c r="CB6" i="9" s="1"/>
  <c r="CC10" i="9" s="1"/>
  <c r="AT19" i="9"/>
  <c r="AT27" i="9" s="1"/>
  <c r="AV14" i="9"/>
  <c r="BA14" i="9" s="1"/>
  <c r="AN66" i="9"/>
  <c r="AP66" i="9" s="1"/>
  <c r="AQ66" i="9" s="1"/>
  <c r="E66" i="9" s="1"/>
  <c r="AN34" i="9"/>
  <c r="AN50" i="9"/>
  <c r="AN26" i="9"/>
  <c r="BA9" i="9"/>
  <c r="AY7" i="9"/>
  <c r="AN42" i="9"/>
  <c r="AN10" i="9"/>
  <c r="AP10" i="9" s="1"/>
  <c r="AQ10" i="9" s="1"/>
  <c r="AT17" i="9"/>
  <c r="AY17" i="9" s="1"/>
  <c r="BE249" i="1"/>
  <c r="BJ239" i="1"/>
  <c r="BA15" i="9"/>
  <c r="AV23" i="9"/>
  <c r="BA16" i="9"/>
  <c r="AV24" i="9"/>
  <c r="AT14" i="9"/>
  <c r="AY6" i="9"/>
  <c r="AV25" i="9"/>
  <c r="BA17" i="9"/>
  <c r="BG244" i="1"/>
  <c r="BL234" i="1"/>
  <c r="BG246" i="1"/>
  <c r="BL236" i="1"/>
  <c r="AT26" i="9"/>
  <c r="AY18" i="9"/>
  <c r="AT23" i="9"/>
  <c r="AY15" i="9"/>
  <c r="BE248" i="1"/>
  <c r="BJ238" i="1"/>
  <c r="BE246" i="1"/>
  <c r="BJ236" i="1"/>
  <c r="BG247" i="1"/>
  <c r="BL237" i="1"/>
  <c r="BW39" i="9"/>
  <c r="CB31" i="9"/>
  <c r="CD31" i="9"/>
  <c r="BY39" i="9"/>
  <c r="CD30" i="9"/>
  <c r="BY38" i="9"/>
  <c r="BY48" i="9"/>
  <c r="CD40" i="9"/>
  <c r="CB33" i="9"/>
  <c r="BW41" i="9"/>
  <c r="BW43" i="9"/>
  <c r="CB35" i="9"/>
  <c r="BY49" i="9"/>
  <c r="CD41" i="9"/>
  <c r="BW50" i="9"/>
  <c r="CB42" i="9"/>
  <c r="BG235" i="1" l="1"/>
  <c r="BL225" i="1"/>
  <c r="BE40" i="1"/>
  <c r="W15" i="9"/>
  <c r="AP50" i="9"/>
  <c r="AQ50" i="9" s="1"/>
  <c r="E50" i="9" s="1"/>
  <c r="U18" i="9"/>
  <c r="BE38" i="1"/>
  <c r="BJ38" i="1" s="1"/>
  <c r="BO38" i="1" s="1"/>
  <c r="BE237" i="1"/>
  <c r="BJ227" i="1"/>
  <c r="BS26" i="9"/>
  <c r="BT26" i="9" s="1"/>
  <c r="W17" i="9"/>
  <c r="BM17" i="9" s="1"/>
  <c r="BR17" i="9" s="1"/>
  <c r="AP34" i="9"/>
  <c r="AQ34" i="9" s="1"/>
  <c r="E34" i="9" s="1"/>
  <c r="U17" i="9"/>
  <c r="BJ29" i="1"/>
  <c r="BO29" i="1" s="1"/>
  <c r="U16" i="9"/>
  <c r="U15" i="9"/>
  <c r="AK200" i="1"/>
  <c r="AD183" i="1" s="1"/>
  <c r="AM198" i="1"/>
  <c r="AM204" i="1" s="1"/>
  <c r="AD193" i="1" s="1"/>
  <c r="AP26" i="9"/>
  <c r="AQ26" i="9" s="1"/>
  <c r="E26" i="9" s="1"/>
  <c r="AE30" i="1"/>
  <c r="K26" i="9"/>
  <c r="W26" i="9" s="1"/>
  <c r="Y27" i="9" s="1"/>
  <c r="AE29" i="1"/>
  <c r="AY16" i="9"/>
  <c r="Z283" i="1"/>
  <c r="BG218" i="1"/>
  <c r="BE224" i="1"/>
  <c r="BJ214" i="1"/>
  <c r="BL218" i="1" s="1"/>
  <c r="BJ225" i="1"/>
  <c r="BE235" i="1"/>
  <c r="BQ58" i="9"/>
  <c r="AE158" i="1"/>
  <c r="O58" i="9"/>
  <c r="Z109" i="1"/>
  <c r="AM109" i="1"/>
  <c r="AM115" i="1" s="1"/>
  <c r="AD104" i="1" s="1"/>
  <c r="AK111" i="1"/>
  <c r="AD94" i="1" s="1"/>
  <c r="BB70" i="1"/>
  <c r="Z70" i="1" s="1"/>
  <c r="AE70" i="1" s="1"/>
  <c r="AW72" i="1"/>
  <c r="BE137" i="1"/>
  <c r="BJ127" i="1"/>
  <c r="BO127" i="1" s="1"/>
  <c r="Z50" i="1"/>
  <c r="BJ136" i="1"/>
  <c r="BO136" i="1" s="1"/>
  <c r="BE146" i="1"/>
  <c r="W16" i="9"/>
  <c r="BM16" i="9" s="1"/>
  <c r="BR16" i="9" s="1"/>
  <c r="BG145" i="1"/>
  <c r="BL135" i="1"/>
  <c r="BQ135" i="1" s="1"/>
  <c r="BJ115" i="1"/>
  <c r="BG119" i="1"/>
  <c r="BE125" i="1"/>
  <c r="BG136" i="1"/>
  <c r="BL126" i="1"/>
  <c r="BQ126" i="1" s="1"/>
  <c r="BJ140" i="1"/>
  <c r="BO140" i="1" s="1"/>
  <c r="BE150" i="1"/>
  <c r="BE26" i="1"/>
  <c r="BG20" i="1"/>
  <c r="BJ16" i="1"/>
  <c r="BL20" i="1" s="1"/>
  <c r="I54" i="9"/>
  <c r="U54" i="9" s="1"/>
  <c r="BJ129" i="1"/>
  <c r="BO129" i="1" s="1"/>
  <c r="BE139" i="1"/>
  <c r="BE48" i="1"/>
  <c r="BJ41" i="1"/>
  <c r="BO41" i="1" s="1"/>
  <c r="BE51" i="1"/>
  <c r="I38" i="9"/>
  <c r="U38" i="9" s="1"/>
  <c r="X16" i="1"/>
  <c r="U19" i="9"/>
  <c r="BE50" i="1"/>
  <c r="BJ40" i="1"/>
  <c r="BO40" i="1" s="1"/>
  <c r="BE49" i="1"/>
  <c r="BJ39" i="1"/>
  <c r="BO39" i="1" s="1"/>
  <c r="BG36" i="1"/>
  <c r="BL26" i="1"/>
  <c r="BQ26" i="1" s="1"/>
  <c r="BL127" i="1"/>
  <c r="BQ127" i="1" s="1"/>
  <c r="BG137" i="1"/>
  <c r="BE148" i="1"/>
  <c r="BJ138" i="1"/>
  <c r="BO138" i="1" s="1"/>
  <c r="BE47" i="1"/>
  <c r="BJ37" i="1"/>
  <c r="BO37" i="1" s="1"/>
  <c r="BL28" i="1"/>
  <c r="BQ28" i="1" s="1"/>
  <c r="BG38" i="1"/>
  <c r="AE159" i="1"/>
  <c r="BL37" i="1"/>
  <c r="BQ37" i="1" s="1"/>
  <c r="BG47" i="1"/>
  <c r="BG39" i="1"/>
  <c r="BL29" i="1"/>
  <c r="BQ29" i="1" s="1"/>
  <c r="BL138" i="1"/>
  <c r="BQ138" i="1" s="1"/>
  <c r="BG148" i="1"/>
  <c r="BP14" i="9"/>
  <c r="BW40" i="9"/>
  <c r="CB40" i="9" s="1"/>
  <c r="BW14" i="9"/>
  <c r="BW22" i="9" s="1"/>
  <c r="AY19" i="9"/>
  <c r="AV22" i="9"/>
  <c r="AV30" i="9" s="1"/>
  <c r="AT25" i="9"/>
  <c r="AT33" i="9" s="1"/>
  <c r="AZ10" i="9"/>
  <c r="B9" i="9" s="1"/>
  <c r="U9" i="13" s="1"/>
  <c r="BE256" i="1"/>
  <c r="BJ256" i="1" s="1"/>
  <c r="BJ246" i="1"/>
  <c r="AY23" i="9"/>
  <c r="AT31" i="9"/>
  <c r="AT35" i="9"/>
  <c r="AY27" i="9"/>
  <c r="BG254" i="1"/>
  <c r="BL254" i="1" s="1"/>
  <c r="BL244" i="1"/>
  <c r="BA24" i="9"/>
  <c r="AV32" i="9"/>
  <c r="BA23" i="9"/>
  <c r="AV31" i="9"/>
  <c r="AT32" i="9"/>
  <c r="AY24" i="9"/>
  <c r="BE259" i="1"/>
  <c r="BJ259" i="1" s="1"/>
  <c r="BJ249" i="1"/>
  <c r="BL247" i="1"/>
  <c r="BG257" i="1"/>
  <c r="BL257" i="1" s="1"/>
  <c r="BJ248" i="1"/>
  <c r="BE258" i="1"/>
  <c r="BJ258" i="1" s="1"/>
  <c r="AY26" i="9"/>
  <c r="AT34" i="9"/>
  <c r="BG256" i="1"/>
  <c r="BL256" i="1" s="1"/>
  <c r="BL246" i="1"/>
  <c r="AV33" i="9"/>
  <c r="BA25" i="9"/>
  <c r="AY14" i="9"/>
  <c r="AT22" i="9"/>
  <c r="BY56" i="9"/>
  <c r="CD48" i="9"/>
  <c r="BW58" i="9"/>
  <c r="CB50" i="9"/>
  <c r="BY46" i="9"/>
  <c r="CD38" i="9"/>
  <c r="CD39" i="9"/>
  <c r="BY47" i="9"/>
  <c r="CB43" i="9"/>
  <c r="BW51" i="9"/>
  <c r="BW47" i="9"/>
  <c r="CB39" i="9"/>
  <c r="CD49" i="9"/>
  <c r="BY57" i="9"/>
  <c r="BW49" i="9"/>
  <c r="CB41" i="9"/>
  <c r="BL235" i="1" l="1"/>
  <c r="BG245" i="1"/>
  <c r="BJ237" i="1"/>
  <c r="BE247" i="1"/>
  <c r="BK19" i="9"/>
  <c r="BP19" i="9" s="1"/>
  <c r="BL119" i="1"/>
  <c r="BO115" i="1"/>
  <c r="BQ119" i="1" s="1"/>
  <c r="BJ224" i="1"/>
  <c r="BL228" i="1" s="1"/>
  <c r="BE234" i="1"/>
  <c r="BG228" i="1"/>
  <c r="BE245" i="1"/>
  <c r="BJ235" i="1"/>
  <c r="O18" i="9"/>
  <c r="AE108" i="1"/>
  <c r="AE109" i="1"/>
  <c r="BG158" i="1"/>
  <c r="BL148" i="1"/>
  <c r="BQ148" i="1" s="1"/>
  <c r="BL47" i="1"/>
  <c r="BQ47" i="1" s="1"/>
  <c r="BG57" i="1"/>
  <c r="BM15" i="9"/>
  <c r="BR15" i="9" s="1"/>
  <c r="BK16" i="9"/>
  <c r="BP16" i="9" s="1"/>
  <c r="BL36" i="1"/>
  <c r="BQ36" i="1" s="1"/>
  <c r="BG46" i="1"/>
  <c r="BJ50" i="1"/>
  <c r="BO50" i="1" s="1"/>
  <c r="BE60" i="1"/>
  <c r="X271" i="1"/>
  <c r="Z275" i="1" s="1"/>
  <c r="AK16" i="1"/>
  <c r="I14" i="9"/>
  <c r="U14" i="9" s="1"/>
  <c r="BE36" i="1"/>
  <c r="BG30" i="1"/>
  <c r="BJ26" i="1"/>
  <c r="BL136" i="1"/>
  <c r="BQ136" i="1" s="1"/>
  <c r="BG146" i="1"/>
  <c r="BE156" i="1"/>
  <c r="BJ146" i="1"/>
  <c r="BO146" i="1" s="1"/>
  <c r="AE69" i="1"/>
  <c r="K58" i="9"/>
  <c r="W58" i="9" s="1"/>
  <c r="Y59" i="9" s="1"/>
  <c r="BG48" i="1"/>
  <c r="BL38" i="1"/>
  <c r="BQ38" i="1" s="1"/>
  <c r="BE57" i="1"/>
  <c r="BJ47" i="1"/>
  <c r="BO47" i="1" s="1"/>
  <c r="BJ148" i="1"/>
  <c r="BO148" i="1" s="1"/>
  <c r="BE158" i="1"/>
  <c r="AE50" i="1"/>
  <c r="K42" i="9"/>
  <c r="W42" i="9" s="1"/>
  <c r="Y43" i="9" s="1"/>
  <c r="AE49" i="1"/>
  <c r="Z20" i="1"/>
  <c r="BK18" i="9"/>
  <c r="BP18" i="9" s="1"/>
  <c r="BG147" i="1"/>
  <c r="BL137" i="1"/>
  <c r="BQ137" i="1" s="1"/>
  <c r="BK15" i="9"/>
  <c r="BP15" i="9" s="1"/>
  <c r="AJ39" i="9"/>
  <c r="AJ38" i="9"/>
  <c r="AH41" i="9"/>
  <c r="AH43" i="9"/>
  <c r="AH39" i="9"/>
  <c r="AH42" i="9"/>
  <c r="AH40" i="9"/>
  <c r="BK38" i="9"/>
  <c r="BS42" i="9" s="1"/>
  <c r="BT42" i="9" s="1"/>
  <c r="AJ41" i="9"/>
  <c r="AH38" i="9"/>
  <c r="AP42" i="9" s="1"/>
  <c r="AQ42" i="9" s="1"/>
  <c r="E42" i="9" s="1"/>
  <c r="AJ40" i="9"/>
  <c r="BJ48" i="1"/>
  <c r="BO48" i="1" s="1"/>
  <c r="BE58" i="1"/>
  <c r="AH54" i="9"/>
  <c r="AJ55" i="9"/>
  <c r="AO55" i="9" s="1"/>
  <c r="AH55" i="9"/>
  <c r="AJ54" i="9"/>
  <c r="AH58" i="9"/>
  <c r="AM58" i="9" s="1"/>
  <c r="BK54" i="9"/>
  <c r="BS58" i="9" s="1"/>
  <c r="BT58" i="9" s="1"/>
  <c r="AJ57" i="9"/>
  <c r="AJ56" i="9"/>
  <c r="AH56" i="9"/>
  <c r="AH59" i="9"/>
  <c r="AH57" i="9"/>
  <c r="BE160" i="1"/>
  <c r="BJ150" i="1"/>
  <c r="BO150" i="1" s="1"/>
  <c r="BE147" i="1"/>
  <c r="BJ137" i="1"/>
  <c r="BO137" i="1" s="1"/>
  <c r="BG49" i="1"/>
  <c r="BL39" i="1"/>
  <c r="BQ39" i="1" s="1"/>
  <c r="BJ49" i="1"/>
  <c r="BO49" i="1" s="1"/>
  <c r="BE59" i="1"/>
  <c r="BM14" i="9"/>
  <c r="BR14" i="9" s="1"/>
  <c r="BJ51" i="1"/>
  <c r="BO51" i="1" s="1"/>
  <c r="BE61" i="1"/>
  <c r="BJ139" i="1"/>
  <c r="BO139" i="1" s="1"/>
  <c r="BE149" i="1"/>
  <c r="BG129" i="1"/>
  <c r="BE135" i="1"/>
  <c r="BJ125" i="1"/>
  <c r="BG155" i="1"/>
  <c r="BL145" i="1"/>
  <c r="BQ145" i="1" s="1"/>
  <c r="BB10" i="1"/>
  <c r="BK17" i="9"/>
  <c r="BP17" i="9" s="1"/>
  <c r="BW48" i="9"/>
  <c r="CB48" i="9" s="1"/>
  <c r="CB14" i="9"/>
  <c r="CC18" i="9" s="1"/>
  <c r="BA22" i="9"/>
  <c r="AZ18" i="9"/>
  <c r="AY25" i="9"/>
  <c r="AY34" i="9"/>
  <c r="AT42" i="9"/>
  <c r="AV39" i="9"/>
  <c r="BA31" i="9"/>
  <c r="AY31" i="9"/>
  <c r="AT39" i="9"/>
  <c r="BA30" i="9"/>
  <c r="AV38" i="9"/>
  <c r="AV41" i="9"/>
  <c r="BA33" i="9"/>
  <c r="AY32" i="9"/>
  <c r="AT40" i="9"/>
  <c r="AT30" i="9"/>
  <c r="AY22" i="9"/>
  <c r="AT41" i="9"/>
  <c r="AY33" i="9"/>
  <c r="BA32" i="9"/>
  <c r="AV40" i="9"/>
  <c r="CB22" i="9"/>
  <c r="CC26" i="9" s="1"/>
  <c r="BW30" i="9"/>
  <c r="AT43" i="9"/>
  <c r="AY35" i="9"/>
  <c r="BW57" i="9"/>
  <c r="CB49" i="9"/>
  <c r="BY54" i="9"/>
  <c r="CD46" i="9"/>
  <c r="BY64" i="9"/>
  <c r="CD64" i="9" s="1"/>
  <c r="CD56" i="9"/>
  <c r="BY65" i="9"/>
  <c r="CD65" i="9" s="1"/>
  <c r="CD57" i="9"/>
  <c r="BY55" i="9"/>
  <c r="CD47" i="9"/>
  <c r="CB47" i="9"/>
  <c r="BW55" i="9"/>
  <c r="CB51" i="9"/>
  <c r="BW59" i="9"/>
  <c r="BW66" i="9"/>
  <c r="CB66" i="9" s="1"/>
  <c r="CB58" i="9"/>
  <c r="BG255" i="1" l="1"/>
  <c r="BL255" i="1" s="1"/>
  <c r="BL245" i="1"/>
  <c r="BJ247" i="1"/>
  <c r="BE257" i="1"/>
  <c r="BJ257" i="1" s="1"/>
  <c r="BQ18" i="9"/>
  <c r="BE255" i="1"/>
  <c r="BJ255" i="1" s="1"/>
  <c r="BJ245" i="1"/>
  <c r="BL30" i="1"/>
  <c r="BO26" i="1"/>
  <c r="BQ30" i="1" s="1"/>
  <c r="AN58" i="9"/>
  <c r="AP58" i="9" s="1"/>
  <c r="AQ58" i="9" s="1"/>
  <c r="E58" i="9" s="1"/>
  <c r="BJ234" i="1"/>
  <c r="BL238" i="1" s="1"/>
  <c r="BG238" i="1"/>
  <c r="BE244" i="1"/>
  <c r="BE157" i="1"/>
  <c r="BJ147" i="1"/>
  <c r="BO147" i="1" s="1"/>
  <c r="AE19" i="1"/>
  <c r="K18" i="9"/>
  <c r="W18" i="9" s="1"/>
  <c r="Y19" i="9" s="1"/>
  <c r="BJ158" i="1"/>
  <c r="BO158" i="1" s="1"/>
  <c r="BE168" i="1"/>
  <c r="BJ168" i="1" s="1"/>
  <c r="BO168" i="1" s="1"/>
  <c r="AK22" i="1"/>
  <c r="AD5" i="1" s="1"/>
  <c r="AM20" i="1"/>
  <c r="AM26" i="1" s="1"/>
  <c r="AD15" i="1" s="1"/>
  <c r="BL158" i="1"/>
  <c r="BQ158" i="1" s="1"/>
  <c r="BG168" i="1"/>
  <c r="BL168" i="1" s="1"/>
  <c r="BQ168" i="1" s="1"/>
  <c r="BL155" i="1"/>
  <c r="BQ155" i="1" s="1"/>
  <c r="BG165" i="1"/>
  <c r="BL165" i="1" s="1"/>
  <c r="BQ165" i="1" s="1"/>
  <c r="BJ149" i="1"/>
  <c r="BO149" i="1" s="1"/>
  <c r="BE159" i="1"/>
  <c r="BL147" i="1"/>
  <c r="BQ147" i="1" s="1"/>
  <c r="BG157" i="1"/>
  <c r="BG58" i="1"/>
  <c r="BL48" i="1"/>
  <c r="BQ48" i="1" s="1"/>
  <c r="BE166" i="1"/>
  <c r="BJ166" i="1" s="1"/>
  <c r="BO166" i="1" s="1"/>
  <c r="BJ156" i="1"/>
  <c r="BO156" i="1" s="1"/>
  <c r="BL46" i="1"/>
  <c r="BQ46" i="1" s="1"/>
  <c r="BG56" i="1"/>
  <c r="BG67" i="1"/>
  <c r="BL57" i="1"/>
  <c r="BQ57" i="1" s="1"/>
  <c r="BO125" i="1"/>
  <c r="BQ129" i="1" s="1"/>
  <c r="BL129" i="1"/>
  <c r="BJ59" i="1"/>
  <c r="BO59" i="1" s="1"/>
  <c r="BE69" i="1"/>
  <c r="BG59" i="1"/>
  <c r="BL49" i="1"/>
  <c r="BQ49" i="1" s="1"/>
  <c r="BE170" i="1"/>
  <c r="BJ170" i="1" s="1"/>
  <c r="BO170" i="1" s="1"/>
  <c r="BJ160" i="1"/>
  <c r="BO160" i="1" s="1"/>
  <c r="BE68" i="1"/>
  <c r="BJ58" i="1"/>
  <c r="BO58" i="1" s="1"/>
  <c r="BG156" i="1"/>
  <c r="BL146" i="1"/>
  <c r="BQ146" i="1" s="1"/>
  <c r="BG40" i="1"/>
  <c r="BJ36" i="1"/>
  <c r="BE46" i="1"/>
  <c r="AE20" i="1"/>
  <c r="BG139" i="1"/>
  <c r="BJ135" i="1"/>
  <c r="BE145" i="1"/>
  <c r="BJ61" i="1"/>
  <c r="BO61" i="1" s="1"/>
  <c r="BE71" i="1"/>
  <c r="BJ57" i="1"/>
  <c r="BO57" i="1" s="1"/>
  <c r="BE67" i="1"/>
  <c r="AH15" i="9"/>
  <c r="AM15" i="9" s="1"/>
  <c r="AH18" i="9"/>
  <c r="AM18" i="9" s="1"/>
  <c r="AH19" i="9"/>
  <c r="AM19" i="9" s="1"/>
  <c r="AJ17" i="9"/>
  <c r="AO17" i="9" s="1"/>
  <c r="AJ15" i="9"/>
  <c r="AO15" i="9" s="1"/>
  <c r="BK14" i="9"/>
  <c r="BS18" i="9" s="1"/>
  <c r="BT18" i="9" s="1"/>
  <c r="AJ14" i="9"/>
  <c r="AO14" i="9" s="1"/>
  <c r="AH14" i="9"/>
  <c r="AM14" i="9" s="1"/>
  <c r="AJ16" i="9"/>
  <c r="AO16" i="9" s="1"/>
  <c r="AH17" i="9"/>
  <c r="AM17" i="9" s="1"/>
  <c r="AH16" i="9"/>
  <c r="AM16" i="9" s="1"/>
  <c r="BE70" i="1"/>
  <c r="BJ60" i="1"/>
  <c r="BO60" i="1" s="1"/>
  <c r="BW56" i="9"/>
  <c r="CB56" i="9" s="1"/>
  <c r="BO165" i="1"/>
  <c r="BO56" i="1"/>
  <c r="F16" i="9"/>
  <c r="AZ26" i="9"/>
  <c r="F24" i="9" s="1"/>
  <c r="AY43" i="9"/>
  <c r="AT51" i="9"/>
  <c r="AY39" i="9"/>
  <c r="AT47" i="9"/>
  <c r="AY42" i="9"/>
  <c r="AT50" i="9"/>
  <c r="CB30" i="9"/>
  <c r="CC34" i="9" s="1"/>
  <c r="BW38" i="9"/>
  <c r="AY30" i="9"/>
  <c r="AZ34" i="9" s="1"/>
  <c r="AT38" i="9"/>
  <c r="AV49" i="9"/>
  <c r="BA41" i="9"/>
  <c r="AY41" i="9"/>
  <c r="AT49" i="9"/>
  <c r="AT48" i="9"/>
  <c r="AY40" i="9"/>
  <c r="BA38" i="9"/>
  <c r="AV46" i="9"/>
  <c r="AV48" i="9"/>
  <c r="BA40" i="9"/>
  <c r="BA39" i="9"/>
  <c r="AV47" i="9"/>
  <c r="BW67" i="9"/>
  <c r="CB67" i="9" s="1"/>
  <c r="CB59" i="9"/>
  <c r="CB55" i="9"/>
  <c r="BW63" i="9"/>
  <c r="CB63" i="9" s="1"/>
  <c r="BY63" i="9"/>
  <c r="CD63" i="9" s="1"/>
  <c r="CD55" i="9"/>
  <c r="CD54" i="9"/>
  <c r="BY62" i="9"/>
  <c r="CD62" i="9" s="1"/>
  <c r="BW65" i="9"/>
  <c r="CB65" i="9" s="1"/>
  <c r="CB57" i="9"/>
  <c r="BO110" i="1" l="1"/>
  <c r="BO106" i="1"/>
  <c r="BL40" i="1"/>
  <c r="BO36" i="1"/>
  <c r="BQ40" i="1" s="1"/>
  <c r="BQ108" i="1"/>
  <c r="BO108" i="1"/>
  <c r="BQ105" i="1"/>
  <c r="BE254" i="1"/>
  <c r="BJ244" i="1"/>
  <c r="BL248" i="1" s="1"/>
  <c r="BG248" i="1"/>
  <c r="BG77" i="1"/>
  <c r="BL77" i="1" s="1"/>
  <c r="BQ77" i="1" s="1"/>
  <c r="BL67" i="1"/>
  <c r="BQ67" i="1" s="1"/>
  <c r="BO135" i="1"/>
  <c r="BQ139" i="1" s="1"/>
  <c r="BL139" i="1"/>
  <c r="BG66" i="1"/>
  <c r="BL56" i="1"/>
  <c r="BQ56" i="1" s="1"/>
  <c r="BE169" i="1"/>
  <c r="BJ169" i="1" s="1"/>
  <c r="BO169" i="1" s="1"/>
  <c r="BJ159" i="1"/>
  <c r="BO159" i="1" s="1"/>
  <c r="AN18" i="9"/>
  <c r="AP18" i="9" s="1"/>
  <c r="AQ18" i="9" s="1"/>
  <c r="E18" i="9" s="1"/>
  <c r="BJ67" i="1"/>
  <c r="BO67" i="1" s="1"/>
  <c r="BE77" i="1"/>
  <c r="BJ77" i="1" s="1"/>
  <c r="BO77" i="1" s="1"/>
  <c r="BG50" i="1"/>
  <c r="BE56" i="1"/>
  <c r="BJ46" i="1"/>
  <c r="BG166" i="1"/>
  <c r="BL166" i="1" s="1"/>
  <c r="BQ166" i="1" s="1"/>
  <c r="BL156" i="1"/>
  <c r="BQ156" i="1" s="1"/>
  <c r="BE81" i="1"/>
  <c r="BJ81" i="1" s="1"/>
  <c r="BO81" i="1" s="1"/>
  <c r="BJ71" i="1"/>
  <c r="BO71" i="1" s="1"/>
  <c r="BE78" i="1"/>
  <c r="BJ78" i="1" s="1"/>
  <c r="BO78" i="1" s="1"/>
  <c r="BJ68" i="1"/>
  <c r="BO68" i="1" s="1"/>
  <c r="BL59" i="1"/>
  <c r="BQ59" i="1" s="1"/>
  <c r="BG69" i="1"/>
  <c r="BG68" i="1"/>
  <c r="BL58" i="1"/>
  <c r="BQ58" i="1" s="1"/>
  <c r="BE167" i="1"/>
  <c r="BJ167" i="1" s="1"/>
  <c r="BO167" i="1" s="1"/>
  <c r="BJ157" i="1"/>
  <c r="BO157" i="1" s="1"/>
  <c r="BE80" i="1"/>
  <c r="BJ80" i="1" s="1"/>
  <c r="BO80" i="1" s="1"/>
  <c r="BJ70" i="1"/>
  <c r="BO70" i="1" s="1"/>
  <c r="BG149" i="1"/>
  <c r="BE155" i="1"/>
  <c r="BJ145" i="1"/>
  <c r="BE79" i="1"/>
  <c r="BJ79" i="1" s="1"/>
  <c r="BO79" i="1" s="1"/>
  <c r="BJ69" i="1"/>
  <c r="BO69" i="1" s="1"/>
  <c r="BG167" i="1"/>
  <c r="BL167" i="1" s="1"/>
  <c r="BQ167" i="1" s="1"/>
  <c r="BL157" i="1"/>
  <c r="BQ157" i="1" s="1"/>
  <c r="BW64" i="9"/>
  <c r="CB64" i="9" s="1"/>
  <c r="BO66" i="1"/>
  <c r="AV56" i="9"/>
  <c r="BA48" i="9"/>
  <c r="AY48" i="9"/>
  <c r="AT56" i="9"/>
  <c r="BA49" i="9"/>
  <c r="AV57" i="9"/>
  <c r="BA46" i="9"/>
  <c r="AV54" i="9"/>
  <c r="AY49" i="9"/>
  <c r="AT57" i="9"/>
  <c r="AT46" i="9"/>
  <c r="AY38" i="9"/>
  <c r="AZ42" i="9" s="1"/>
  <c r="AT58" i="9"/>
  <c r="AY50" i="9"/>
  <c r="F32" i="9"/>
  <c r="AY51" i="9"/>
  <c r="AT59" i="9"/>
  <c r="AV55" i="9"/>
  <c r="BA47" i="9"/>
  <c r="BW46" i="9"/>
  <c r="CB38" i="9"/>
  <c r="CC42" i="9" s="1"/>
  <c r="AT55" i="9"/>
  <c r="AY47" i="9"/>
  <c r="BO19" i="1" l="1"/>
  <c r="BQ107" i="1"/>
  <c r="BL50" i="1"/>
  <c r="BO46" i="1"/>
  <c r="BQ50" i="1" s="1"/>
  <c r="BO20" i="1"/>
  <c r="BO18" i="1"/>
  <c r="BO109" i="1"/>
  <c r="BO107" i="1"/>
  <c r="BO17" i="1"/>
  <c r="BQ60" i="1"/>
  <c r="BQ106" i="1"/>
  <c r="BG258" i="1"/>
  <c r="BJ254" i="1"/>
  <c r="BL258" i="1" s="1"/>
  <c r="BO21" i="1"/>
  <c r="BQ17" i="1"/>
  <c r="BQ169" i="1"/>
  <c r="BG78" i="1"/>
  <c r="BL78" i="1" s="1"/>
  <c r="BQ78" i="1" s="1"/>
  <c r="BL68" i="1"/>
  <c r="BQ68" i="1" s="1"/>
  <c r="BO145" i="1"/>
  <c r="BQ149" i="1" s="1"/>
  <c r="BL149" i="1"/>
  <c r="BG159" i="1"/>
  <c r="BJ155" i="1"/>
  <c r="BE165" i="1"/>
  <c r="BL69" i="1"/>
  <c r="BQ69" i="1" s="1"/>
  <c r="BG79" i="1"/>
  <c r="BL79" i="1" s="1"/>
  <c r="BQ79" i="1" s="1"/>
  <c r="BG60" i="1"/>
  <c r="BJ56" i="1"/>
  <c r="BL60" i="1" s="1"/>
  <c r="BE66" i="1"/>
  <c r="BL66" i="1"/>
  <c r="BQ66" i="1" s="1"/>
  <c r="BG76" i="1"/>
  <c r="BL76" i="1" s="1"/>
  <c r="BQ76" i="1" s="1"/>
  <c r="BO76" i="1"/>
  <c r="BW54" i="9"/>
  <c r="CB46" i="9"/>
  <c r="CC50" i="9" s="1"/>
  <c r="F40" i="9"/>
  <c r="AV62" i="9"/>
  <c r="BA62" i="9" s="1"/>
  <c r="BA54" i="9"/>
  <c r="AY56" i="9"/>
  <c r="AT64" i="9"/>
  <c r="AY64" i="9" s="1"/>
  <c r="AT54" i="9"/>
  <c r="AY46" i="9"/>
  <c r="AZ50" i="9" s="1"/>
  <c r="AY55" i="9"/>
  <c r="AT63" i="9"/>
  <c r="AY63" i="9" s="1"/>
  <c r="AV63" i="9"/>
  <c r="BA63" i="9" s="1"/>
  <c r="BA55" i="9"/>
  <c r="AT65" i="9"/>
  <c r="AY65" i="9" s="1"/>
  <c r="AY57" i="9"/>
  <c r="BA57" i="9"/>
  <c r="AV65" i="9"/>
  <c r="BA65" i="9" s="1"/>
  <c r="AT67" i="9"/>
  <c r="AY67" i="9" s="1"/>
  <c r="AY59" i="9"/>
  <c r="AY58" i="9"/>
  <c r="AT66" i="9"/>
  <c r="AY66" i="9" s="1"/>
  <c r="AV64" i="9"/>
  <c r="BA64" i="9" s="1"/>
  <c r="BA56" i="9"/>
  <c r="BQ19" i="1" l="1"/>
  <c r="BQ16" i="1"/>
  <c r="BQ18" i="1"/>
  <c r="BQ70" i="1"/>
  <c r="BJ165" i="1"/>
  <c r="BL169" i="1" s="1"/>
  <c r="BG169" i="1"/>
  <c r="BO155" i="1"/>
  <c r="BQ159" i="1" s="1"/>
  <c r="BL159" i="1"/>
  <c r="BQ80" i="1"/>
  <c r="BE76" i="1"/>
  <c r="BJ66" i="1"/>
  <c r="BL70" i="1" s="1"/>
  <c r="BG70" i="1"/>
  <c r="BO16" i="1"/>
  <c r="F48" i="9"/>
  <c r="AY54" i="9"/>
  <c r="AZ58" i="9" s="1"/>
  <c r="AT62" i="9"/>
  <c r="AY62" i="9" s="1"/>
  <c r="AZ66" i="9" s="1"/>
  <c r="BW62" i="9"/>
  <c r="CB62" i="9" s="1"/>
  <c r="CC66" i="9" s="1"/>
  <c r="CB54" i="9"/>
  <c r="CC58" i="9" s="1"/>
  <c r="BQ20" i="1" l="1"/>
  <c r="BO105" i="1"/>
  <c r="BQ109" i="1" s="1"/>
  <c r="BJ76" i="1"/>
  <c r="BL80" i="1" s="1"/>
  <c r="BG80" i="1"/>
  <c r="F64" i="9"/>
  <c r="F56" i="9"/>
</calcChain>
</file>

<file path=xl/comments1.xml><?xml version="1.0" encoding="utf-8"?>
<comments xmlns="http://schemas.openxmlformats.org/spreadsheetml/2006/main">
  <authors>
    <author>城陽市役所</author>
  </authors>
  <commentList>
    <comment ref="O54" authorId="0" shapeId="0">
      <text>
        <r>
          <rPr>
            <b/>
            <sz val="9"/>
            <color indexed="81"/>
            <rFont val="MS P ゴシック"/>
            <family val="3"/>
            <charset val="128"/>
          </rPr>
          <t>所得－１０万　するかどうかの判定</t>
        </r>
      </text>
    </comment>
    <comment ref="O55" authorId="0" shapeId="0">
      <text>
        <r>
          <rPr>
            <b/>
            <sz val="9"/>
            <color indexed="81"/>
            <rFont val="MS P ゴシック"/>
            <family val="3"/>
            <charset val="128"/>
          </rPr>
          <t>軽減判定時の人数判定</t>
        </r>
      </text>
    </comment>
  </commentList>
</comments>
</file>

<file path=xl/comments2.xml><?xml version="1.0" encoding="utf-8"?>
<comments xmlns="http://schemas.openxmlformats.org/spreadsheetml/2006/main">
  <authors>
    <author>城陽市役所</author>
  </authors>
  <commentList>
    <comment ref="W10" authorId="0" shapeId="0">
      <text>
        <r>
          <rPr>
            <b/>
            <sz val="18"/>
            <color indexed="81"/>
            <rFont val="MS P ゴシック"/>
            <family val="3"/>
            <charset val="128"/>
          </rPr>
          <t>使用する場合は、今回加入する世帯員を①に入力すること</t>
        </r>
      </text>
    </comment>
    <comment ref="W11" authorId="0" shapeId="0">
      <text>
        <r>
          <rPr>
            <b/>
            <sz val="16"/>
            <color indexed="81"/>
            <rFont val="MS P ゴシック"/>
            <family val="3"/>
            <charset val="128"/>
          </rPr>
          <t>使用する場合は、今回加入する世帯員を①に入力すること</t>
        </r>
      </text>
    </comment>
  </commentList>
</comments>
</file>

<file path=xl/comments3.xml><?xml version="1.0" encoding="utf-8"?>
<comments xmlns="http://schemas.openxmlformats.org/spreadsheetml/2006/main">
  <authors>
    <author>森　哲也</author>
  </authors>
  <commentList>
    <comment ref="F14" authorId="0" shapeId="0">
      <text>
        <r>
          <rPr>
            <sz val="18"/>
            <color indexed="10"/>
            <rFont val="ＭＳ Ｐゴシック"/>
            <family val="3"/>
            <charset val="128"/>
          </rPr>
          <t>①で期割の端数調整</t>
        </r>
      </text>
    </comment>
  </commentList>
</comments>
</file>

<file path=xl/comments4.xml><?xml version="1.0" encoding="utf-8"?>
<comments xmlns="http://schemas.openxmlformats.org/spreadsheetml/2006/main">
  <authors>
    <author>森　哲也</author>
  </authors>
  <commentList>
    <comment ref="AH15" authorId="0" shapeId="0">
      <text>
        <r>
          <rPr>
            <sz val="9"/>
            <color indexed="10"/>
            <rFont val="ＭＳ Ｐゴシック"/>
            <family val="3"/>
            <charset val="128"/>
          </rPr>
          <t>１２ヶ月以外は１</t>
        </r>
      </text>
    </comment>
    <comment ref="AH104" authorId="0" shapeId="0">
      <text>
        <r>
          <rPr>
            <sz val="9"/>
            <color indexed="10"/>
            <rFont val="ＭＳ Ｐゴシック"/>
            <family val="3"/>
            <charset val="128"/>
          </rPr>
          <t>１２ヶ月以外は１</t>
        </r>
      </text>
    </comment>
  </commentList>
</comments>
</file>

<file path=xl/sharedStrings.xml><?xml version="1.0" encoding="utf-8"?>
<sst xmlns="http://schemas.openxmlformats.org/spreadsheetml/2006/main" count="5370" uniqueCount="484">
  <si>
    <t>所得割</t>
    <rPh sb="0" eb="2">
      <t>ショトク</t>
    </rPh>
    <rPh sb="2" eb="3">
      <t>ワリ</t>
    </rPh>
    <phoneticPr fontId="2"/>
  </si>
  <si>
    <t>平等割</t>
    <rPh sb="0" eb="2">
      <t>ビョウドウ</t>
    </rPh>
    <rPh sb="2" eb="3">
      <t>ワリ</t>
    </rPh>
    <phoneticPr fontId="2"/>
  </si>
  <si>
    <t>［医療分］</t>
    <rPh sb="1" eb="3">
      <t>イリョウ</t>
    </rPh>
    <rPh sb="3" eb="4">
      <t>ブン</t>
    </rPh>
    <phoneticPr fontId="2"/>
  </si>
  <si>
    <t>［介護分］</t>
    <rPh sb="1" eb="3">
      <t>カイゴ</t>
    </rPh>
    <rPh sb="3" eb="4">
      <t>ブン</t>
    </rPh>
    <phoneticPr fontId="2"/>
  </si>
  <si>
    <t>人</t>
    <rPh sb="0" eb="1">
      <t>ニン</t>
    </rPh>
    <phoneticPr fontId="2"/>
  </si>
  <si>
    <t>ヶ月</t>
    <rPh sb="1" eb="2">
      <t>ゲツ</t>
    </rPh>
    <phoneticPr fontId="2"/>
  </si>
  <si>
    <t>円</t>
    <rPh sb="0" eb="1">
      <t>エン</t>
    </rPh>
    <phoneticPr fontId="2"/>
  </si>
  <si>
    <t>（</t>
    <phoneticPr fontId="2"/>
  </si>
  <si>
    <t>加入月</t>
    <rPh sb="0" eb="1">
      <t>カ</t>
    </rPh>
    <rPh sb="1" eb="2">
      <t>ニュウ</t>
    </rPh>
    <rPh sb="2" eb="3">
      <t>ツキ</t>
    </rPh>
    <phoneticPr fontId="2"/>
  </si>
  <si>
    <t>↓加入月</t>
    <rPh sb="1" eb="2">
      <t>カ</t>
    </rPh>
    <rPh sb="2" eb="3">
      <t>ニュウ</t>
    </rPh>
    <rPh sb="3" eb="4">
      <t>ツキ</t>
    </rPh>
    <phoneticPr fontId="2"/>
  </si>
  <si>
    <t>均等割</t>
    <rPh sb="0" eb="3">
      <t>キントウワ</t>
    </rPh>
    <phoneticPr fontId="2"/>
  </si>
  <si>
    <t>様</t>
    <rPh sb="0" eb="1">
      <t>サマ</t>
    </rPh>
    <phoneticPr fontId="2"/>
  </si>
  <si>
    <t>医療分保険料</t>
    <rPh sb="0" eb="2">
      <t>イリョウ</t>
    </rPh>
    <rPh sb="2" eb="3">
      <t>ブン</t>
    </rPh>
    <rPh sb="3" eb="5">
      <t>ホケン</t>
    </rPh>
    <rPh sb="5" eb="6">
      <t>リョウ</t>
    </rPh>
    <phoneticPr fontId="2"/>
  </si>
  <si>
    <t>（100円未満切捨）</t>
    <rPh sb="4" eb="5">
      <t>エン</t>
    </rPh>
    <rPh sb="5" eb="7">
      <t>ミマン</t>
    </rPh>
    <rPh sb="7" eb="9">
      <t>キリス</t>
    </rPh>
    <phoneticPr fontId="2"/>
  </si>
  <si>
    <t>＝</t>
    <phoneticPr fontId="2"/>
  </si>
  <si>
    <t>（単位：円）</t>
    <rPh sb="1" eb="3">
      <t>タンイ</t>
    </rPh>
    <rPh sb="4" eb="5">
      <t>エン</t>
    </rPh>
    <phoneticPr fontId="2"/>
  </si>
  <si>
    <t>【医療分】賦課料率</t>
    <rPh sb="1" eb="3">
      <t>イリョウ</t>
    </rPh>
    <rPh sb="3" eb="4">
      <t>ブン</t>
    </rPh>
    <rPh sb="5" eb="7">
      <t>フカ</t>
    </rPh>
    <rPh sb="7" eb="9">
      <t>リョウリツ</t>
    </rPh>
    <phoneticPr fontId="2"/>
  </si>
  <si>
    <t>均等割</t>
    <rPh sb="0" eb="2">
      <t>キントウ</t>
    </rPh>
    <rPh sb="2" eb="3">
      <t>ワリ</t>
    </rPh>
    <phoneticPr fontId="2"/>
  </si>
  <si>
    <t>限度超過</t>
    <rPh sb="0" eb="2">
      <t>ゲンド</t>
    </rPh>
    <rPh sb="2" eb="4">
      <t>チョウカ</t>
    </rPh>
    <phoneticPr fontId="2"/>
  </si>
  <si>
    <t>料率</t>
    <rPh sb="0" eb="2">
      <t>リョウリツ</t>
    </rPh>
    <phoneticPr fontId="2"/>
  </si>
  <si>
    <t>【介護分】賦課料率</t>
    <rPh sb="1" eb="3">
      <t>カイゴ</t>
    </rPh>
    <rPh sb="3" eb="4">
      <t>ブン</t>
    </rPh>
    <rPh sb="5" eb="7">
      <t>フカ</t>
    </rPh>
    <rPh sb="7" eb="9">
      <t>リョウリツ</t>
    </rPh>
    <phoneticPr fontId="2"/>
  </si>
  <si>
    <t>控除</t>
    <rPh sb="0" eb="2">
      <t>コウジョ</t>
    </rPh>
    <phoneticPr fontId="2"/>
  </si>
  <si>
    <t>）</t>
    <phoneticPr fontId="2"/>
  </si>
  <si>
    <t>割軽減世帯</t>
    <rPh sb="0" eb="1">
      <t>ワリ</t>
    </rPh>
    <rPh sb="1" eb="3">
      <t>ケイゲン</t>
    </rPh>
    <rPh sb="3" eb="5">
      <t>セタイ</t>
    </rPh>
    <phoneticPr fontId="2"/>
  </si>
  <si>
    <t>軽減額</t>
    <rPh sb="0" eb="2">
      <t>ケイゲン</t>
    </rPh>
    <rPh sb="2" eb="3">
      <t>ガク</t>
    </rPh>
    <phoneticPr fontId="2"/>
  </si>
  <si>
    <t>1年</t>
    <rPh sb="0" eb="2">
      <t>イチネン</t>
    </rPh>
    <phoneticPr fontId="2"/>
  </si>
  <si>
    <t>人数</t>
    <rPh sb="0" eb="2">
      <t>ニンズウ</t>
    </rPh>
    <phoneticPr fontId="2"/>
  </si>
  <si>
    <t>軽減金額</t>
    <rPh sb="0" eb="2">
      <t>ケイゲン</t>
    </rPh>
    <rPh sb="2" eb="4">
      <t>キンガク</t>
    </rPh>
    <phoneticPr fontId="2"/>
  </si>
  <si>
    <t>加入人数</t>
    <rPh sb="0" eb="1">
      <t>カ</t>
    </rPh>
    <rPh sb="1" eb="2">
      <t>ニュウ</t>
    </rPh>
    <rPh sb="2" eb="4">
      <t>ニンズウ</t>
    </rPh>
    <phoneticPr fontId="2"/>
  </si>
  <si>
    <t>個人合計</t>
    <rPh sb="0" eb="2">
      <t>コジン</t>
    </rPh>
    <rPh sb="2" eb="4">
      <t>ゴウケイ</t>
    </rPh>
    <phoneticPr fontId="2"/>
  </si>
  <si>
    <t>小計</t>
    <rPh sb="0" eb="2">
      <t>ショウケイ</t>
    </rPh>
    <phoneticPr fontId="2"/>
  </si>
  <si>
    <t>100円未満切捨</t>
    <rPh sb="3" eb="4">
      <t>エン</t>
    </rPh>
    <rPh sb="4" eb="6">
      <t>ミマン</t>
    </rPh>
    <rPh sb="6" eb="7">
      <t>キ</t>
    </rPh>
    <rPh sb="7" eb="8">
      <t>ス</t>
    </rPh>
    <phoneticPr fontId="2"/>
  </si>
  <si>
    <t>個人保険料</t>
    <rPh sb="0" eb="2">
      <t>コジン</t>
    </rPh>
    <rPh sb="2" eb="4">
      <t>ホケン</t>
    </rPh>
    <rPh sb="4" eb="5">
      <t>リョウ</t>
    </rPh>
    <phoneticPr fontId="2"/>
  </si>
  <si>
    <t>↓総所得金額</t>
    <rPh sb="1" eb="2">
      <t>ソウ</t>
    </rPh>
    <rPh sb="2" eb="4">
      <t>ショトク</t>
    </rPh>
    <rPh sb="4" eb="6">
      <t>キンガク</t>
    </rPh>
    <phoneticPr fontId="2"/>
  </si>
  <si>
    <t>1期</t>
    <rPh sb="1" eb="2">
      <t>キ</t>
    </rPh>
    <phoneticPr fontId="2"/>
  </si>
  <si>
    <t>2期</t>
    <rPh sb="1" eb="2">
      <t>キ</t>
    </rPh>
    <phoneticPr fontId="2"/>
  </si>
  <si>
    <t>3期</t>
    <rPh sb="1" eb="2">
      <t>キ</t>
    </rPh>
    <phoneticPr fontId="2"/>
  </si>
  <si>
    <t>5期</t>
    <rPh sb="1" eb="2">
      <t>キ</t>
    </rPh>
    <phoneticPr fontId="2"/>
  </si>
  <si>
    <t>6期</t>
    <rPh sb="1" eb="2">
      <t>キ</t>
    </rPh>
    <phoneticPr fontId="2"/>
  </si>
  <si>
    <t>7期</t>
    <rPh sb="1" eb="2">
      <t>キ</t>
    </rPh>
    <phoneticPr fontId="2"/>
  </si>
  <si>
    <t>8期</t>
    <rPh sb="1" eb="2">
      <t>キ</t>
    </rPh>
    <phoneticPr fontId="2"/>
  </si>
  <si>
    <t>9期</t>
    <rPh sb="1" eb="2">
      <t>キ</t>
    </rPh>
    <phoneticPr fontId="2"/>
  </si>
  <si>
    <t>10期</t>
    <rPh sb="2" eb="3">
      <t>キ</t>
    </rPh>
    <phoneticPr fontId="2"/>
  </si>
  <si>
    <t>4期</t>
    <rPh sb="1" eb="2">
      <t>キ</t>
    </rPh>
    <phoneticPr fontId="2"/>
  </si>
  <si>
    <t>合計</t>
    <rPh sb="0" eb="2">
      <t>ゴウケイ</t>
    </rPh>
    <phoneticPr fontId="2"/>
  </si>
  <si>
    <t>⑥</t>
    <phoneticPr fontId="2"/>
  </si>
  <si>
    <t>期割内訳</t>
    <rPh sb="0" eb="1">
      <t>キ</t>
    </rPh>
    <rPh sb="1" eb="2">
      <t>ワリ</t>
    </rPh>
    <rPh sb="2" eb="4">
      <t>ウチワケ</t>
    </rPh>
    <phoneticPr fontId="2"/>
  </si>
  <si>
    <t>保険料内訳</t>
    <rPh sb="0" eb="2">
      <t>ホケン</t>
    </rPh>
    <rPh sb="2" eb="3">
      <t>リョウ</t>
    </rPh>
    <rPh sb="3" eb="5">
      <t>ウチワケ</t>
    </rPh>
    <phoneticPr fontId="2"/>
  </si>
  <si>
    <t>（保険者番号　　城</t>
    <rPh sb="1" eb="4">
      <t>ホケンシャ</t>
    </rPh>
    <rPh sb="4" eb="6">
      <t>バンゴウ</t>
    </rPh>
    <rPh sb="8" eb="9">
      <t>シロ</t>
    </rPh>
    <phoneticPr fontId="2"/>
  </si>
  <si>
    <t>⑦</t>
    <phoneticPr fontId="2"/>
  </si>
  <si>
    <t>医療分期割</t>
    <rPh sb="0" eb="2">
      <t>イリョウ</t>
    </rPh>
    <rPh sb="2" eb="3">
      <t>ブン</t>
    </rPh>
    <rPh sb="3" eb="4">
      <t>キ</t>
    </rPh>
    <rPh sb="4" eb="5">
      <t>ワリ</t>
    </rPh>
    <phoneticPr fontId="2"/>
  </si>
  <si>
    <t>①</t>
    <phoneticPr fontId="2"/>
  </si>
  <si>
    <t>②</t>
    <phoneticPr fontId="2"/>
  </si>
  <si>
    <t>③</t>
    <phoneticPr fontId="2"/>
  </si>
  <si>
    <t>④</t>
    <phoneticPr fontId="2"/>
  </si>
  <si>
    <t>⑤</t>
    <phoneticPr fontId="2"/>
  </si>
  <si>
    <t>対象者</t>
    <rPh sb="0" eb="3">
      <t>タイショウシャ</t>
    </rPh>
    <phoneticPr fontId="2"/>
  </si>
  <si>
    <t>介護該当は１⇒</t>
    <rPh sb="0" eb="2">
      <t>カイゴ</t>
    </rPh>
    <rPh sb="2" eb="4">
      <t>ガイトウ</t>
    </rPh>
    <phoneticPr fontId="2"/>
  </si>
  <si>
    <t>－</t>
    <phoneticPr fontId="2"/>
  </si>
  <si>
    <t>×</t>
    <phoneticPr fontId="2"/>
  </si>
  <si>
    <t>被保険者番号</t>
    <rPh sb="0" eb="4">
      <t>ヒホケンシャ</t>
    </rPh>
    <rPh sb="4" eb="6">
      <t>バンゴウ</t>
    </rPh>
    <phoneticPr fontId="2"/>
  </si>
  <si>
    <t>城</t>
    <rPh sb="0" eb="1">
      <t>シロ</t>
    </rPh>
    <phoneticPr fontId="2"/>
  </si>
  <si>
    <t>国保加入月数</t>
    <rPh sb="0" eb="2">
      <t>コクホ</t>
    </rPh>
    <rPh sb="2" eb="4">
      <t>カニュウ</t>
    </rPh>
    <rPh sb="4" eb="5">
      <t>ツキ</t>
    </rPh>
    <rPh sb="5" eb="6">
      <t>スウ</t>
    </rPh>
    <phoneticPr fontId="2"/>
  </si>
  <si>
    <t>介護加入月数</t>
    <rPh sb="0" eb="2">
      <t>カイゴ</t>
    </rPh>
    <rPh sb="2" eb="4">
      <t>カニュウ</t>
    </rPh>
    <rPh sb="4" eb="5">
      <t>ツキ</t>
    </rPh>
    <rPh sb="5" eb="6">
      <t>スウ</t>
    </rPh>
    <phoneticPr fontId="2"/>
  </si>
  <si>
    <t>総所得金額</t>
    <rPh sb="0" eb="1">
      <t>ソウ</t>
    </rPh>
    <rPh sb="1" eb="3">
      <t>ショトク</t>
    </rPh>
    <rPh sb="3" eb="5">
      <t>キンガク</t>
    </rPh>
    <phoneticPr fontId="2"/>
  </si>
  <si>
    <r>
      <t>円　</t>
    </r>
    <r>
      <rPr>
        <sz val="16"/>
        <rFont val="ＭＳ 明朝"/>
        <family val="1"/>
        <charset val="128"/>
      </rPr>
      <t>⇒</t>
    </r>
    <rPh sb="0" eb="1">
      <t>エン</t>
    </rPh>
    <phoneticPr fontId="2"/>
  </si>
  <si>
    <t>（千円未満切捨て）</t>
    <rPh sb="1" eb="3">
      <t>センエン</t>
    </rPh>
    <rPh sb="3" eb="5">
      <t>ミマン</t>
    </rPh>
    <rPh sb="5" eb="7">
      <t>キリス</t>
    </rPh>
    <phoneticPr fontId="2"/>
  </si>
  <si>
    <t>氏名</t>
    <rPh sb="0" eb="2">
      <t>シメイ</t>
    </rPh>
    <phoneticPr fontId="2"/>
  </si>
  <si>
    <t>介護分期割</t>
    <rPh sb="0" eb="2">
      <t>カイゴ</t>
    </rPh>
    <rPh sb="2" eb="3">
      <t>ブン</t>
    </rPh>
    <rPh sb="3" eb="4">
      <t>キ</t>
    </rPh>
    <rPh sb="4" eb="5">
      <t>ワリ</t>
    </rPh>
    <phoneticPr fontId="2"/>
  </si>
  <si>
    <t>医療分</t>
    <rPh sb="0" eb="2">
      <t>イリョウ</t>
    </rPh>
    <rPh sb="2" eb="3">
      <t>ブン</t>
    </rPh>
    <phoneticPr fontId="2"/>
  </si>
  <si>
    <t>介護分</t>
    <rPh sb="0" eb="2">
      <t>カイゴ</t>
    </rPh>
    <rPh sb="2" eb="3">
      <t>ブン</t>
    </rPh>
    <phoneticPr fontId="2"/>
  </si>
  <si>
    <t>名前入力</t>
    <rPh sb="0" eb="2">
      <t>ナマエ</t>
    </rPh>
    <rPh sb="2" eb="4">
      <t>ニュウリョク</t>
    </rPh>
    <phoneticPr fontId="2"/>
  </si>
  <si>
    <t>所得入力</t>
    <rPh sb="0" eb="2">
      <t>ショトク</t>
    </rPh>
    <rPh sb="2" eb="4">
      <t>ニュウリョク</t>
    </rPh>
    <phoneticPr fontId="2"/>
  </si>
  <si>
    <t>１．年度途中に保険料変更があった者は期割り計算不可能｡</t>
    <rPh sb="2" eb="4">
      <t>ネンド</t>
    </rPh>
    <rPh sb="4" eb="6">
      <t>トチュウ</t>
    </rPh>
    <rPh sb="7" eb="9">
      <t>ホケン</t>
    </rPh>
    <rPh sb="9" eb="10">
      <t>リョウ</t>
    </rPh>
    <rPh sb="10" eb="12">
      <t>ヘンコウ</t>
    </rPh>
    <rPh sb="16" eb="17">
      <t>モノ</t>
    </rPh>
    <rPh sb="18" eb="19">
      <t>キ</t>
    </rPh>
    <rPh sb="19" eb="20">
      <t>ワ</t>
    </rPh>
    <rPh sb="21" eb="23">
      <t>ケイサン</t>
    </rPh>
    <rPh sb="23" eb="26">
      <t>フカノウ</t>
    </rPh>
    <phoneticPr fontId="2"/>
  </si>
  <si>
    <t>↓保険料及び期割の端数は①対象者で調整↓</t>
    <rPh sb="1" eb="3">
      <t>ホケン</t>
    </rPh>
    <rPh sb="3" eb="4">
      <t>リョウ</t>
    </rPh>
    <rPh sb="4" eb="5">
      <t>オヨ</t>
    </rPh>
    <rPh sb="6" eb="7">
      <t>キ</t>
    </rPh>
    <rPh sb="7" eb="8">
      <t>ワリ</t>
    </rPh>
    <rPh sb="9" eb="11">
      <t>ハスウ</t>
    </rPh>
    <rPh sb="13" eb="16">
      <t>タイショウシャ</t>
    </rPh>
    <rPh sb="17" eb="19">
      <t>チョウセイ</t>
    </rPh>
    <phoneticPr fontId="2"/>
  </si>
  <si>
    <t>保険料</t>
    <rPh sb="0" eb="3">
      <t>ホケンリョウ</t>
    </rPh>
    <phoneticPr fontId="2"/>
  </si>
  <si>
    <t>合　計</t>
    <rPh sb="0" eb="1">
      <t>ゴウ</t>
    </rPh>
    <rPh sb="2" eb="3">
      <t>ケイ</t>
    </rPh>
    <phoneticPr fontId="2"/>
  </si>
  <si>
    <t>氏　名</t>
    <rPh sb="0" eb="1">
      <t>シ</t>
    </rPh>
    <rPh sb="2" eb="3">
      <t>メイ</t>
    </rPh>
    <phoneticPr fontId="2"/>
  </si>
  <si>
    <t>城－</t>
    <rPh sb="0" eb="1">
      <t>シロ</t>
    </rPh>
    <phoneticPr fontId="2"/>
  </si>
  <si>
    <t>計算表</t>
    <rPh sb="0" eb="2">
      <t>ケイサン</t>
    </rPh>
    <rPh sb="2" eb="3">
      <t>ヒョウ</t>
    </rPh>
    <phoneticPr fontId="2"/>
  </si>
  <si>
    <t>計算表さわらないこと！！</t>
    <rPh sb="0" eb="2">
      <t>ケイサン</t>
    </rPh>
    <rPh sb="2" eb="3">
      <t>ヒョウ</t>
    </rPh>
    <phoneticPr fontId="2"/>
  </si>
  <si>
    <t>国民健康保険料</t>
    <rPh sb="0" eb="2">
      <t>コクミン</t>
    </rPh>
    <rPh sb="2" eb="4">
      <t>ケンコウ</t>
    </rPh>
    <rPh sb="4" eb="6">
      <t>ホケン</t>
    </rPh>
    <rPh sb="6" eb="7">
      <t>リョウ</t>
    </rPh>
    <phoneticPr fontId="2"/>
  </si>
  <si>
    <t>保険料個人内訳</t>
    <rPh sb="0" eb="2">
      <t>ホケン</t>
    </rPh>
    <rPh sb="2" eb="3">
      <t>リョウ</t>
    </rPh>
    <rPh sb="3" eb="5">
      <t>コジン</t>
    </rPh>
    <rPh sb="5" eb="7">
      <t>ウチワケ</t>
    </rPh>
    <phoneticPr fontId="2"/>
  </si>
  <si>
    <t>全体期割</t>
    <rPh sb="0" eb="2">
      <t>ゼンタイ</t>
    </rPh>
    <rPh sb="2" eb="3">
      <t>キ</t>
    </rPh>
    <rPh sb="3" eb="4">
      <t>ワリ</t>
    </rPh>
    <phoneticPr fontId="2"/>
  </si>
  <si>
    <t>（軽減判定基準）</t>
    <rPh sb="1" eb="3">
      <t>ケイゲン</t>
    </rPh>
    <rPh sb="3" eb="5">
      <t>ハンテイ</t>
    </rPh>
    <rPh sb="5" eb="7">
      <t>キジュン</t>
    </rPh>
    <phoneticPr fontId="2"/>
  </si>
  <si>
    <t>↓①から順に入力してください｡</t>
    <rPh sb="4" eb="5">
      <t>ジュン</t>
    </rPh>
    <rPh sb="6" eb="8">
      <t>ニュウリョク</t>
    </rPh>
    <phoneticPr fontId="2"/>
  </si>
  <si>
    <t>↓↓↓《青の箇所を入力》↓↓↓</t>
    <rPh sb="4" eb="5">
      <t>アオ</t>
    </rPh>
    <rPh sb="6" eb="8">
      <t>カショ</t>
    </rPh>
    <rPh sb="9" eb="11">
      <t>ニュウリョク</t>
    </rPh>
    <phoneticPr fontId="2"/>
  </si>
  <si>
    <t>（A)の複写</t>
    <rPh sb="4" eb="6">
      <t>フクシャ</t>
    </rPh>
    <phoneticPr fontId="2"/>
  </si>
  <si>
    <t>加入者に表示</t>
    <rPh sb="0" eb="3">
      <t>カニュウシャ</t>
    </rPh>
    <rPh sb="4" eb="6">
      <t>ヒョウジ</t>
    </rPh>
    <phoneticPr fontId="2"/>
  </si>
  <si>
    <t>期割内訳</t>
  </si>
  <si>
    <t>　金額（申告用）</t>
    <rPh sb="1" eb="3">
      <t>キンガク</t>
    </rPh>
    <rPh sb="4" eb="7">
      <t>シンコクヨウ</t>
    </rPh>
    <phoneticPr fontId="2"/>
  </si>
  <si>
    <t>その年に支払った</t>
    <rPh sb="2" eb="3">
      <t>トシ</t>
    </rPh>
    <rPh sb="4" eb="6">
      <t>シハラ</t>
    </rPh>
    <phoneticPr fontId="2"/>
  </si>
  <si>
    <t>支払金額</t>
    <rPh sb="0" eb="2">
      <t>シハライ</t>
    </rPh>
    <rPh sb="2" eb="4">
      <t>キンガク</t>
    </rPh>
    <phoneticPr fontId="2"/>
  </si>
  <si>
    <t>全納</t>
    <rPh sb="0" eb="2">
      <t>ゼンノウ</t>
    </rPh>
    <phoneticPr fontId="2"/>
  </si>
  <si>
    <t>それぞれの期までの合計</t>
    <rPh sb="5" eb="6">
      <t>キ</t>
    </rPh>
    <rPh sb="9" eb="11">
      <t>ゴウケイ</t>
    </rPh>
    <phoneticPr fontId="2"/>
  </si>
  <si>
    <t>振分け</t>
    <rPh sb="0" eb="2">
      <t>フリワ</t>
    </rPh>
    <phoneticPr fontId="2"/>
  </si>
  <si>
    <t>＊＊入力禁止＊＊</t>
    <rPh sb="2" eb="4">
      <t>ニュウリョク</t>
    </rPh>
    <rPh sb="4" eb="6">
      <t>キンシ</t>
    </rPh>
    <phoneticPr fontId="2"/>
  </si>
  <si>
    <t>その年に支払った金額　(申告用）</t>
    <rPh sb="2" eb="3">
      <t>ネン</t>
    </rPh>
    <rPh sb="4" eb="6">
      <t>シハラ</t>
    </rPh>
    <rPh sb="8" eb="10">
      <t>キンガク</t>
    </rPh>
    <rPh sb="12" eb="15">
      <t>シンコクヨウ</t>
    </rPh>
    <phoneticPr fontId="2"/>
  </si>
  <si>
    <t>入金</t>
    <rPh sb="0" eb="2">
      <t>ニュウキン</t>
    </rPh>
    <phoneticPr fontId="2"/>
  </si>
  <si>
    <t>現年分扱いは→１</t>
    <rPh sb="0" eb="2">
      <t>ゲンネン</t>
    </rPh>
    <rPh sb="2" eb="3">
      <t>ブン</t>
    </rPh>
    <rPh sb="3" eb="4">
      <t>アツカ</t>
    </rPh>
    <phoneticPr fontId="2"/>
  </si>
  <si>
    <t>旧年分扱いは→１</t>
    <rPh sb="0" eb="1">
      <t>フル</t>
    </rPh>
    <rPh sb="1" eb="2">
      <t>ネン</t>
    </rPh>
    <rPh sb="2" eb="3">
      <t>ブン</t>
    </rPh>
    <rPh sb="3" eb="4">
      <t>アツカ</t>
    </rPh>
    <phoneticPr fontId="2"/>
  </si>
  <si>
    <t>それぞれの期までの合計（現年）</t>
    <rPh sb="5" eb="6">
      <t>キ</t>
    </rPh>
    <rPh sb="9" eb="11">
      <t>ゴウケイ</t>
    </rPh>
    <rPh sb="12" eb="14">
      <t>ゲンネン</t>
    </rPh>
    <phoneticPr fontId="2"/>
  </si>
  <si>
    <t>旧年計算</t>
    <rPh sb="0" eb="1">
      <t>キュウ</t>
    </rPh>
    <rPh sb="1" eb="2">
      <t>ネン</t>
    </rPh>
    <rPh sb="2" eb="4">
      <t>ケイサン</t>
    </rPh>
    <phoneticPr fontId="2"/>
  </si>
  <si>
    <t>現年計算</t>
    <rPh sb="0" eb="2">
      <t>ゲンネン</t>
    </rPh>
    <rPh sb="2" eb="4">
      <t>ケイサン</t>
    </rPh>
    <phoneticPr fontId="2"/>
  </si>
  <si>
    <t>収納額</t>
    <rPh sb="0" eb="2">
      <t>シュウノウ</t>
    </rPh>
    <rPh sb="2" eb="3">
      <t>ガク</t>
    </rPh>
    <phoneticPr fontId="2"/>
  </si>
  <si>
    <t>有無</t>
    <rPh sb="0" eb="2">
      <t>ウム</t>
    </rPh>
    <phoneticPr fontId="2"/>
  </si>
  <si>
    <t>２．①から詰めて入力｡</t>
    <rPh sb="5" eb="6">
      <t>ツ</t>
    </rPh>
    <rPh sb="8" eb="10">
      <t>ニュウリョク</t>
    </rPh>
    <phoneticPr fontId="2"/>
  </si>
  <si>
    <t>金額</t>
    <rPh sb="0" eb="2">
      <t>キンガク</t>
    </rPh>
    <phoneticPr fontId="2"/>
  </si>
  <si>
    <t>最大値</t>
    <rPh sb="0" eb="3">
      <t>サイダイチ</t>
    </rPh>
    <phoneticPr fontId="2"/>
  </si>
  <si>
    <t>→</t>
    <phoneticPr fontId="2"/>
  </si>
  <si>
    <t>加入月割</t>
    <rPh sb="0" eb="1">
      <t>カ</t>
    </rPh>
    <rPh sb="1" eb="2">
      <t>ニュウ</t>
    </rPh>
    <rPh sb="2" eb="3">
      <t>ツキ</t>
    </rPh>
    <rPh sb="3" eb="4">
      <t>ワリ</t>
    </rPh>
    <phoneticPr fontId="2"/>
  </si>
  <si>
    <t>人数割</t>
    <rPh sb="0" eb="2">
      <t>ニンズ</t>
    </rPh>
    <rPh sb="2" eb="3">
      <t>ワ</t>
    </rPh>
    <phoneticPr fontId="2"/>
  </si>
  <si>
    <t>一人１ヶ月当</t>
    <rPh sb="0" eb="2">
      <t>ヒトリ</t>
    </rPh>
    <rPh sb="4" eb="5">
      <t>ゲツ</t>
    </rPh>
    <rPh sb="5" eb="6">
      <t>アタ</t>
    </rPh>
    <phoneticPr fontId="2"/>
  </si>
  <si>
    <t>平等割額</t>
    <rPh sb="0" eb="2">
      <t>ビョウドウ</t>
    </rPh>
    <rPh sb="2" eb="3">
      <t>ワリ</t>
    </rPh>
    <rPh sb="3" eb="4">
      <t>ガク</t>
    </rPh>
    <phoneticPr fontId="2"/>
  </si>
  <si>
    <t>加入月数</t>
    <rPh sb="0" eb="1">
      <t>カ</t>
    </rPh>
    <rPh sb="1" eb="2">
      <t>ニュウ</t>
    </rPh>
    <rPh sb="2" eb="3">
      <t>ツキ</t>
    </rPh>
    <rPh sb="3" eb="4">
      <t>スウ</t>
    </rPh>
    <phoneticPr fontId="2"/>
  </si>
  <si>
    <t>Ｂ</t>
    <phoneticPr fontId="2"/>
  </si>
  <si>
    <t>Ａ</t>
    <phoneticPr fontId="2"/>
  </si>
  <si>
    <t>計</t>
    <rPh sb="0" eb="1">
      <t>ケイ</t>
    </rPh>
    <phoneticPr fontId="2"/>
  </si>
  <si>
    <t>一人１ヶ月当り平等割額</t>
    <rPh sb="0" eb="2">
      <t>ヒトリ</t>
    </rPh>
    <rPh sb="4" eb="5">
      <t>ゲツ</t>
    </rPh>
    <rPh sb="5" eb="6">
      <t>アタ</t>
    </rPh>
    <rPh sb="7" eb="9">
      <t>ビョウドウ</t>
    </rPh>
    <rPh sb="9" eb="10">
      <t>ワリ</t>
    </rPh>
    <rPh sb="10" eb="11">
      <t>ガク</t>
    </rPh>
    <phoneticPr fontId="2"/>
  </si>
  <si>
    <t>介護分保険料</t>
    <rPh sb="0" eb="2">
      <t>カイゴ</t>
    </rPh>
    <rPh sb="2" eb="3">
      <t>ブン</t>
    </rPh>
    <rPh sb="3" eb="5">
      <t>ホケン</t>
    </rPh>
    <rPh sb="5" eb="6">
      <t>リョウ</t>
    </rPh>
    <phoneticPr fontId="2"/>
  </si>
  <si>
    <t>1ヶ月当り</t>
    <rPh sb="2" eb="3">
      <t>ゲツ</t>
    </rPh>
    <rPh sb="3" eb="4">
      <t>アタ</t>
    </rPh>
    <phoneticPr fontId="2"/>
  </si>
  <si>
    <t>（</t>
    <phoneticPr fontId="2"/>
  </si>
  <si>
    <t>)</t>
    <phoneticPr fontId="2"/>
  </si>
  <si>
    <t>（</t>
    <phoneticPr fontId="2"/>
  </si>
  <si>
    <t>Ｂ</t>
    <phoneticPr fontId="2"/>
  </si>
  <si>
    <t>Ａ÷Ｂ＝</t>
    <phoneticPr fontId="2"/>
  </si>
  <si>
    <t>（4）</t>
    <phoneticPr fontId="2"/>
  </si>
  <si>
    <t>①</t>
    <phoneticPr fontId="2"/>
  </si>
  <si>
    <t>（A)</t>
    <phoneticPr fontId="2"/>
  </si>
  <si>
    <t>（（</t>
    <phoneticPr fontId="2"/>
  </si>
  <si>
    <t>＝</t>
    <phoneticPr fontId="2"/>
  </si>
  <si>
    <t>×</t>
    <phoneticPr fontId="2"/>
  </si>
  <si>
    <t>①</t>
    <phoneticPr fontId="2"/>
  </si>
  <si>
    <t>②</t>
    <phoneticPr fontId="2"/>
  </si>
  <si>
    <t>③</t>
    <phoneticPr fontId="2"/>
  </si>
  <si>
    <t>④</t>
    <phoneticPr fontId="2"/>
  </si>
  <si>
    <t>⑤</t>
    <phoneticPr fontId="2"/>
  </si>
  <si>
    <t>⑥</t>
    <phoneticPr fontId="2"/>
  </si>
  <si>
    <t>⑦</t>
    <phoneticPr fontId="2"/>
  </si>
  <si>
    <t>限度超過　（医療）</t>
    <rPh sb="0" eb="2">
      <t>ゲンド</t>
    </rPh>
    <rPh sb="2" eb="4">
      <t>チョウカ</t>
    </rPh>
    <rPh sb="6" eb="8">
      <t>イリョウ</t>
    </rPh>
    <phoneticPr fontId="2"/>
  </si>
  <si>
    <t>限度超過　（介護）</t>
    <rPh sb="0" eb="2">
      <t>ゲンド</t>
    </rPh>
    <rPh sb="2" eb="4">
      <t>チョウカ</t>
    </rPh>
    <rPh sb="6" eb="8">
      <t>カイゴ</t>
    </rPh>
    <phoneticPr fontId="2"/>
  </si>
  <si>
    <t>限度超過計</t>
    <rPh sb="0" eb="2">
      <t>ゲンド</t>
    </rPh>
    <rPh sb="2" eb="4">
      <t>チョウカ</t>
    </rPh>
    <rPh sb="4" eb="5">
      <t>ケイ</t>
    </rPh>
    <phoneticPr fontId="2"/>
  </si>
  <si>
    <t>12ヶ月以外合計</t>
    <rPh sb="3" eb="4">
      <t>ゲツ</t>
    </rPh>
    <rPh sb="4" eb="6">
      <t>イガイ</t>
    </rPh>
    <rPh sb="6" eb="8">
      <t>ゴウケイ</t>
    </rPh>
    <phoneticPr fontId="2"/>
  </si>
  <si>
    <t>全納</t>
    <rPh sb="0" eb="1">
      <t>ゼン</t>
    </rPh>
    <rPh sb="1" eb="2">
      <t>ノウ</t>
    </rPh>
    <phoneticPr fontId="2"/>
  </si>
  <si>
    <t>①</t>
    <phoneticPr fontId="2"/>
  </si>
  <si>
    <t>②</t>
    <phoneticPr fontId="2"/>
  </si>
  <si>
    <t>③</t>
    <phoneticPr fontId="2"/>
  </si>
  <si>
    <t>④</t>
    <phoneticPr fontId="2"/>
  </si>
  <si>
    <t>⑤</t>
    <phoneticPr fontId="2"/>
  </si>
  <si>
    <t>⑥</t>
    <phoneticPr fontId="2"/>
  </si>
  <si>
    <t>⑦</t>
    <phoneticPr fontId="2"/>
  </si>
  <si>
    <t>①</t>
    <phoneticPr fontId="2"/>
  </si>
  <si>
    <t>②</t>
    <phoneticPr fontId="2"/>
  </si>
  <si>
    <t>③</t>
    <phoneticPr fontId="2"/>
  </si>
  <si>
    <t>④</t>
    <phoneticPr fontId="2"/>
  </si>
  <si>
    <t>⑤</t>
    <phoneticPr fontId="2"/>
  </si>
  <si>
    <t>⑥</t>
    <phoneticPr fontId="2"/>
  </si>
  <si>
    <t>⑦</t>
    <phoneticPr fontId="2"/>
  </si>
  <si>
    <t>↓↓料　率　入　力↓↓</t>
    <rPh sb="2" eb="3">
      <t>リョウ</t>
    </rPh>
    <rPh sb="4" eb="5">
      <t>リツ</t>
    </rPh>
    <rPh sb="6" eb="7">
      <t>イ</t>
    </rPh>
    <rPh sb="8" eb="9">
      <t>チカラ</t>
    </rPh>
    <phoneticPr fontId="2"/>
  </si>
  <si>
    <t>支援分</t>
    <rPh sb="0" eb="2">
      <t>シエン</t>
    </rPh>
    <rPh sb="2" eb="3">
      <t>ブン</t>
    </rPh>
    <phoneticPr fontId="2"/>
  </si>
  <si>
    <t>［支援分］</t>
    <rPh sb="1" eb="3">
      <t>シエン</t>
    </rPh>
    <rPh sb="3" eb="4">
      <t>ブン</t>
    </rPh>
    <phoneticPr fontId="2"/>
  </si>
  <si>
    <t>支援分保険料</t>
    <rPh sb="0" eb="2">
      <t>シエン</t>
    </rPh>
    <rPh sb="2" eb="3">
      <t>ブン</t>
    </rPh>
    <rPh sb="3" eb="5">
      <t>ホケン</t>
    </rPh>
    <rPh sb="5" eb="6">
      <t>リョウ</t>
    </rPh>
    <phoneticPr fontId="2"/>
  </si>
  <si>
    <t>【支援分】賦課料率</t>
    <rPh sb="1" eb="3">
      <t>シエン</t>
    </rPh>
    <rPh sb="3" eb="4">
      <t>ブン</t>
    </rPh>
    <rPh sb="5" eb="7">
      <t>フカ</t>
    </rPh>
    <rPh sb="7" eb="9">
      <t>リョウリツ</t>
    </rPh>
    <phoneticPr fontId="2"/>
  </si>
  <si>
    <t>1ヶ月当りの保険料　</t>
    <rPh sb="2" eb="3">
      <t>ゲツ</t>
    </rPh>
    <rPh sb="3" eb="4">
      <t>アタ</t>
    </rPh>
    <rPh sb="6" eb="8">
      <t>ホケン</t>
    </rPh>
    <rPh sb="8" eb="9">
      <t>リョウ</t>
    </rPh>
    <phoneticPr fontId="2"/>
  </si>
  <si>
    <t>その年に支払った金額(申告用）</t>
    <rPh sb="2" eb="3">
      <t>ネン</t>
    </rPh>
    <rPh sb="4" eb="6">
      <t>シハラ</t>
    </rPh>
    <rPh sb="8" eb="10">
      <t>キンガク</t>
    </rPh>
    <rPh sb="11" eb="14">
      <t>シンコクヨウ</t>
    </rPh>
    <phoneticPr fontId="2"/>
  </si>
  <si>
    <t>支援分期割</t>
    <rPh sb="0" eb="2">
      <t>シエン</t>
    </rPh>
    <rPh sb="2" eb="3">
      <t>ブン</t>
    </rPh>
    <rPh sb="3" eb="4">
      <t>キ</t>
    </rPh>
    <rPh sb="4" eb="5">
      <t>ワリ</t>
    </rPh>
    <phoneticPr fontId="2"/>
  </si>
  <si>
    <t>上のＡより</t>
    <rPh sb="0" eb="1">
      <t>ウエ</t>
    </rPh>
    <phoneticPr fontId="2"/>
  </si>
  <si>
    <t>Ａ</t>
    <phoneticPr fontId="2"/>
  </si>
  <si>
    <t>医</t>
    <rPh sb="0" eb="1">
      <t>イ</t>
    </rPh>
    <phoneticPr fontId="2"/>
  </si>
  <si>
    <t>療</t>
    <rPh sb="0" eb="1">
      <t>リョウ</t>
    </rPh>
    <phoneticPr fontId="2"/>
  </si>
  <si>
    <t>支</t>
    <rPh sb="0" eb="1">
      <t>ササ</t>
    </rPh>
    <phoneticPr fontId="2"/>
  </si>
  <si>
    <t>援</t>
    <rPh sb="0" eb="1">
      <t>エン</t>
    </rPh>
    <phoneticPr fontId="2"/>
  </si>
  <si>
    <t>介</t>
    <rPh sb="0" eb="1">
      <t>スケ</t>
    </rPh>
    <phoneticPr fontId="2"/>
  </si>
  <si>
    <t>護</t>
    <rPh sb="0" eb="1">
      <t>ユズル</t>
    </rPh>
    <phoneticPr fontId="2"/>
  </si>
  <si>
    <t>限度超過　（支援）</t>
    <rPh sb="0" eb="2">
      <t>ゲンド</t>
    </rPh>
    <rPh sb="2" eb="4">
      <t>チョウカ</t>
    </rPh>
    <rPh sb="6" eb="8">
      <t>シエン</t>
    </rPh>
    <phoneticPr fontId="2"/>
  </si>
  <si>
    <t>←限度超過サイン</t>
    <rPh sb="1" eb="3">
      <t>ゲンド</t>
    </rPh>
    <rPh sb="3" eb="5">
      <t>チョウカ</t>
    </rPh>
    <phoneticPr fontId="2"/>
  </si>
  <si>
    <t>介護按分率</t>
    <rPh sb="0" eb="2">
      <t>カイゴ</t>
    </rPh>
    <rPh sb="2" eb="4">
      <t>アンブン</t>
    </rPh>
    <rPh sb="4" eb="5">
      <t>リツ</t>
    </rPh>
    <phoneticPr fontId="79"/>
  </si>
  <si>
    <t>支援按分率</t>
    <rPh sb="0" eb="2">
      <t>シエン</t>
    </rPh>
    <rPh sb="2" eb="4">
      <t>アンブン</t>
    </rPh>
    <rPh sb="4" eb="5">
      <t>リツ</t>
    </rPh>
    <phoneticPr fontId="79"/>
  </si>
  <si>
    <t>期別計－介護－支援</t>
    <rPh sb="0" eb="1">
      <t>キ</t>
    </rPh>
    <rPh sb="1" eb="2">
      <t>ベツ</t>
    </rPh>
    <rPh sb="2" eb="3">
      <t>ケイ</t>
    </rPh>
    <rPh sb="4" eb="6">
      <t>カイゴ</t>
    </rPh>
    <rPh sb="7" eb="9">
      <t>シエン</t>
    </rPh>
    <phoneticPr fontId="79"/>
  </si>
  <si>
    <t>（期別計－介護期別）×支援按分率</t>
    <rPh sb="1" eb="2">
      <t>キ</t>
    </rPh>
    <rPh sb="2" eb="3">
      <t>ベツ</t>
    </rPh>
    <rPh sb="3" eb="4">
      <t>ケイ</t>
    </rPh>
    <rPh sb="5" eb="7">
      <t>カイゴ</t>
    </rPh>
    <rPh sb="7" eb="8">
      <t>キ</t>
    </rPh>
    <rPh sb="8" eb="9">
      <t>ベツ</t>
    </rPh>
    <rPh sb="11" eb="13">
      <t>シエン</t>
    </rPh>
    <rPh sb="13" eb="15">
      <t>アンブン</t>
    </rPh>
    <rPh sb="15" eb="16">
      <t>リツ</t>
    </rPh>
    <phoneticPr fontId="79"/>
  </si>
  <si>
    <t>期別計×介護按分率</t>
    <rPh sb="0" eb="1">
      <t>キ</t>
    </rPh>
    <rPh sb="1" eb="2">
      <t>ベツ</t>
    </rPh>
    <rPh sb="2" eb="3">
      <t>ケイ</t>
    </rPh>
    <rPh sb="4" eb="6">
      <t>カイゴ</t>
    </rPh>
    <rPh sb="6" eb="8">
      <t>アンブン</t>
    </rPh>
    <rPh sb="8" eb="9">
      <t>リツ</t>
    </rPh>
    <phoneticPr fontId="79"/>
  </si>
  <si>
    <t>介護調定÷全体調定</t>
    <rPh sb="0" eb="2">
      <t>カイゴ</t>
    </rPh>
    <rPh sb="2" eb="4">
      <t>チョウテイ</t>
    </rPh>
    <rPh sb="5" eb="7">
      <t>ゼンタイ</t>
    </rPh>
    <rPh sb="7" eb="9">
      <t>チョウテイ</t>
    </rPh>
    <phoneticPr fontId="79"/>
  </si>
  <si>
    <t>支援調定÷（医療調定＋支援調定）</t>
    <rPh sb="0" eb="2">
      <t>シエン</t>
    </rPh>
    <rPh sb="2" eb="4">
      <t>チョウテイ</t>
    </rPh>
    <rPh sb="6" eb="8">
      <t>イリョウ</t>
    </rPh>
    <rPh sb="8" eb="10">
      <t>チョウテイ</t>
    </rPh>
    <rPh sb="11" eb="13">
      <t>シエン</t>
    </rPh>
    <rPh sb="13" eb="15">
      <t>チョウテイ</t>
    </rPh>
    <phoneticPr fontId="79"/>
  </si>
  <si>
    <t>小数８位まで</t>
    <rPh sb="0" eb="2">
      <t>ショウスウ</t>
    </rPh>
    <rPh sb="3" eb="4">
      <t>イ</t>
    </rPh>
    <phoneticPr fontId="79"/>
  </si>
  <si>
    <t>小数点１位を四捨五入</t>
    <rPh sb="0" eb="3">
      <t>ショウスウテン</t>
    </rPh>
    <rPh sb="4" eb="5">
      <t>イ</t>
    </rPh>
    <rPh sb="6" eb="10">
      <t>シシャゴニュウ</t>
    </rPh>
    <phoneticPr fontId="79"/>
  </si>
  <si>
    <t>介護、支援を調整した残りの額にする。</t>
    <rPh sb="0" eb="2">
      <t>カイゴ</t>
    </rPh>
    <rPh sb="3" eb="5">
      <t>シエン</t>
    </rPh>
    <rPh sb="6" eb="8">
      <t>チョウセイ</t>
    </rPh>
    <rPh sb="10" eb="11">
      <t>ノコ</t>
    </rPh>
    <rPh sb="13" eb="14">
      <t>ガク</t>
    </rPh>
    <phoneticPr fontId="79"/>
  </si>
  <si>
    <t>１期</t>
    <rPh sb="1" eb="2">
      <t>キ</t>
    </rPh>
    <phoneticPr fontId="2"/>
  </si>
  <si>
    <t>２期</t>
    <rPh sb="1" eb="2">
      <t>キ</t>
    </rPh>
    <phoneticPr fontId="2"/>
  </si>
  <si>
    <t>３期</t>
    <rPh sb="1" eb="2">
      <t>キ</t>
    </rPh>
    <phoneticPr fontId="2"/>
  </si>
  <si>
    <t>４期</t>
    <rPh sb="1" eb="2">
      <t>キ</t>
    </rPh>
    <phoneticPr fontId="2"/>
  </si>
  <si>
    <t>５期</t>
    <rPh sb="1" eb="2">
      <t>キ</t>
    </rPh>
    <phoneticPr fontId="2"/>
  </si>
  <si>
    <t>６期</t>
    <rPh sb="1" eb="2">
      <t>キ</t>
    </rPh>
    <phoneticPr fontId="2"/>
  </si>
  <si>
    <t>７期</t>
    <rPh sb="1" eb="2">
      <t>キ</t>
    </rPh>
    <phoneticPr fontId="2"/>
  </si>
  <si>
    <t>８期</t>
    <rPh sb="1" eb="2">
      <t>キ</t>
    </rPh>
    <phoneticPr fontId="2"/>
  </si>
  <si>
    <t>９期</t>
    <rPh sb="1" eb="2">
      <t>キ</t>
    </rPh>
    <phoneticPr fontId="2"/>
  </si>
  <si>
    <t>１０期</t>
    <rPh sb="2" eb="3">
      <t>キ</t>
    </rPh>
    <phoneticPr fontId="2"/>
  </si>
  <si>
    <t>合計し足りない分をで最後の期から遡って調整していく。</t>
    <rPh sb="0" eb="2">
      <t>ゴウケイ</t>
    </rPh>
    <rPh sb="3" eb="4">
      <t>タ</t>
    </rPh>
    <rPh sb="7" eb="8">
      <t>ブン</t>
    </rPh>
    <rPh sb="10" eb="12">
      <t>サイゴ</t>
    </rPh>
    <rPh sb="13" eb="14">
      <t>キ</t>
    </rPh>
    <rPh sb="16" eb="17">
      <t>サカノボ</t>
    </rPh>
    <rPh sb="19" eb="21">
      <t>チョウセイ</t>
    </rPh>
    <phoneticPr fontId="79"/>
  </si>
  <si>
    <t>期</t>
    <rPh sb="0" eb="1">
      <t>キ</t>
    </rPh>
    <phoneticPr fontId="2"/>
  </si>
  <si>
    <t>支援分</t>
    <rPh sb="0" eb="2">
      <t>シエン</t>
    </rPh>
    <rPh sb="2" eb="3">
      <t>ブン</t>
    </rPh>
    <phoneticPr fontId="79"/>
  </si>
  <si>
    <t>医療分</t>
    <rPh sb="0" eb="2">
      <t>イリョウ</t>
    </rPh>
    <rPh sb="2" eb="3">
      <t>ブン</t>
    </rPh>
    <phoneticPr fontId="79"/>
  </si>
  <si>
    <t>介護分</t>
    <rPh sb="0" eb="2">
      <t>カイゴ</t>
    </rPh>
    <rPh sb="2" eb="3">
      <t>ブン</t>
    </rPh>
    <phoneticPr fontId="79"/>
  </si>
  <si>
    <t>保険料合計</t>
    <rPh sb="0" eb="3">
      <t>ホケンリョウ</t>
    </rPh>
    <rPh sb="3" eb="5">
      <t>ゴウケイ</t>
    </rPh>
    <phoneticPr fontId="79"/>
  </si>
  <si>
    <t>医療・支援・介護</t>
    <rPh sb="0" eb="2">
      <t>イリョウ</t>
    </rPh>
    <rPh sb="3" eb="5">
      <t>シエン</t>
    </rPh>
    <rPh sb="6" eb="8">
      <t>カイゴ</t>
    </rPh>
    <phoneticPr fontId="2"/>
  </si>
  <si>
    <t>（切捨て）</t>
    <rPh sb="1" eb="3">
      <t>キリス</t>
    </rPh>
    <phoneticPr fontId="2"/>
  </si>
  <si>
    <t>①保険料</t>
    <rPh sb="1" eb="4">
      <t>ホケンリョウ</t>
    </rPh>
    <phoneticPr fontId="2"/>
  </si>
  <si>
    <t>②計</t>
    <rPh sb="1" eb="2">
      <t>ケイ</t>
    </rPh>
    <phoneticPr fontId="2"/>
  </si>
  <si>
    <t>期割計算後の差</t>
    <rPh sb="0" eb="1">
      <t>キ</t>
    </rPh>
    <rPh sb="1" eb="2">
      <t>ワ</t>
    </rPh>
    <rPh sb="2" eb="4">
      <t>ケイサン</t>
    </rPh>
    <rPh sb="4" eb="5">
      <t>ゴ</t>
    </rPh>
    <rPh sb="6" eb="7">
      <t>サ</t>
    </rPh>
    <phoneticPr fontId="2"/>
  </si>
  <si>
    <t>保険料期割</t>
    <rPh sb="0" eb="3">
      <t>ホケンリョウ</t>
    </rPh>
    <rPh sb="3" eb="4">
      <t>キ</t>
    </rPh>
    <rPh sb="4" eb="5">
      <t>ワ</t>
    </rPh>
    <phoneticPr fontId="2"/>
  </si>
  <si>
    <t>↓</t>
    <phoneticPr fontId="2"/>
  </si>
  <si>
    <t>↑</t>
    <phoneticPr fontId="79"/>
  </si>
  <si>
    <t>①-②</t>
    <phoneticPr fontId="2"/>
  </si>
  <si>
    <t>↑</t>
    <phoneticPr fontId="79"/>
  </si>
  <si>
    <t>期割り計算</t>
    <rPh sb="0" eb="1">
      <t>キ</t>
    </rPh>
    <rPh sb="1" eb="2">
      <t>ワ</t>
    </rPh>
    <rPh sb="3" eb="5">
      <t>ケイサン</t>
    </rPh>
    <phoneticPr fontId="2"/>
  </si>
  <si>
    <t>個人ごと割10期</t>
    <rPh sb="0" eb="2">
      <t>コジン</t>
    </rPh>
    <rPh sb="4" eb="5">
      <t>ワ</t>
    </rPh>
    <rPh sb="7" eb="8">
      <t>キ</t>
    </rPh>
    <phoneticPr fontId="2"/>
  </si>
  <si>
    <t>保険料合計</t>
    <rPh sb="0" eb="3">
      <t>ホケンリョウ</t>
    </rPh>
    <rPh sb="3" eb="5">
      <t>ゴウケイ</t>
    </rPh>
    <phoneticPr fontId="2"/>
  </si>
  <si>
    <t>期割計算後の差</t>
    <rPh sb="0" eb="1">
      <t>キ</t>
    </rPh>
    <rPh sb="1" eb="2">
      <t>ワリ</t>
    </rPh>
    <rPh sb="2" eb="4">
      <t>ケイサン</t>
    </rPh>
    <rPh sb="4" eb="5">
      <t>ゴ</t>
    </rPh>
    <rPh sb="6" eb="7">
      <t>サ</t>
    </rPh>
    <phoneticPr fontId="2"/>
  </si>
  <si>
    <t>１０期より調整</t>
    <rPh sb="2" eb="3">
      <t>キ</t>
    </rPh>
    <rPh sb="5" eb="7">
      <t>チョウセイ</t>
    </rPh>
    <phoneticPr fontId="2"/>
  </si>
  <si>
    <t>【個人別期割計算】</t>
    <rPh sb="1" eb="3">
      <t>コジン</t>
    </rPh>
    <rPh sb="3" eb="4">
      <t>ベツ</t>
    </rPh>
    <rPh sb="4" eb="5">
      <t>キ</t>
    </rPh>
    <rPh sb="5" eb="6">
      <t>ワリ</t>
    </rPh>
    <rPh sb="6" eb="8">
      <t>ケイサン</t>
    </rPh>
    <phoneticPr fontId="2"/>
  </si>
  <si>
    <t>介護①</t>
    <rPh sb="0" eb="2">
      <t>カイゴ</t>
    </rPh>
    <phoneticPr fontId="2"/>
  </si>
  <si>
    <t>（１）</t>
    <phoneticPr fontId="2"/>
  </si>
  <si>
    <t>（２）差分を10期目から調整</t>
    <rPh sb="3" eb="4">
      <t>サ</t>
    </rPh>
    <rPh sb="4" eb="5">
      <t>ブン</t>
    </rPh>
    <rPh sb="8" eb="9">
      <t>キ</t>
    </rPh>
    <rPh sb="9" eb="10">
      <t>メ</t>
    </rPh>
    <rPh sb="12" eb="14">
      <t>チョウセイ</t>
    </rPh>
    <phoneticPr fontId="2"/>
  </si>
  <si>
    <t>介護按分率⇒</t>
    <rPh sb="0" eb="2">
      <t>カイゴ</t>
    </rPh>
    <rPh sb="2" eb="4">
      <t>アンブン</t>
    </rPh>
    <rPh sb="4" eb="5">
      <t>リツ</t>
    </rPh>
    <phoneticPr fontId="2"/>
  </si>
  <si>
    <t>支援按分率⇒</t>
    <rPh sb="0" eb="2">
      <t>シエン</t>
    </rPh>
    <rPh sb="2" eb="4">
      <t>アンブン</t>
    </rPh>
    <rPh sb="4" eb="5">
      <t>リツ</t>
    </rPh>
    <phoneticPr fontId="2"/>
  </si>
  <si>
    <t>期別計×介護按分率</t>
    <phoneticPr fontId="2"/>
  </si>
  <si>
    <t>介護調定÷全体調定↓</t>
    <rPh sb="0" eb="2">
      <t>カイゴ</t>
    </rPh>
    <rPh sb="2" eb="3">
      <t>チョウ</t>
    </rPh>
    <rPh sb="3" eb="4">
      <t>サダム</t>
    </rPh>
    <rPh sb="5" eb="6">
      <t>ゼン</t>
    </rPh>
    <rPh sb="6" eb="8">
      <t>タイチョウ</t>
    </rPh>
    <rPh sb="8" eb="9">
      <t>サダム</t>
    </rPh>
    <phoneticPr fontId="2"/>
  </si>
  <si>
    <t>保険料期割(1)＋(2）=(3)</t>
    <rPh sb="0" eb="3">
      <t>ホケンリョウ</t>
    </rPh>
    <rPh sb="3" eb="4">
      <t>キ</t>
    </rPh>
    <rPh sb="4" eb="5">
      <t>ワリ</t>
    </rPh>
    <phoneticPr fontId="2"/>
  </si>
  <si>
    <t>（３）</t>
    <phoneticPr fontId="2"/>
  </si>
  <si>
    <t>支援①</t>
    <rPh sb="0" eb="2">
      <t>シエン</t>
    </rPh>
    <phoneticPr fontId="2"/>
  </si>
  <si>
    <t>支援②</t>
    <rPh sb="0" eb="2">
      <t>シエン</t>
    </rPh>
    <phoneticPr fontId="2"/>
  </si>
  <si>
    <t>支援③</t>
    <rPh sb="0" eb="2">
      <t>シエン</t>
    </rPh>
    <phoneticPr fontId="2"/>
  </si>
  <si>
    <t>支援④</t>
    <rPh sb="0" eb="2">
      <t>シエン</t>
    </rPh>
    <phoneticPr fontId="2"/>
  </si>
  <si>
    <t>支援⑤</t>
    <rPh sb="0" eb="2">
      <t>シエン</t>
    </rPh>
    <phoneticPr fontId="2"/>
  </si>
  <si>
    <t>支援⑥</t>
    <rPh sb="0" eb="2">
      <t>シエン</t>
    </rPh>
    <phoneticPr fontId="2"/>
  </si>
  <si>
    <t>支援⑦</t>
    <rPh sb="0" eb="2">
      <t>シエン</t>
    </rPh>
    <phoneticPr fontId="2"/>
  </si>
  <si>
    <t>支援調定÷（医療調定＋支援調定）↓</t>
    <phoneticPr fontId="79"/>
  </si>
  <si>
    <t>支援①（期別計－介護期別）×支援按分率</t>
    <rPh sb="0" eb="2">
      <t>シエン</t>
    </rPh>
    <phoneticPr fontId="2"/>
  </si>
  <si>
    <t>介護②</t>
    <rPh sb="0" eb="2">
      <t>カイゴ</t>
    </rPh>
    <phoneticPr fontId="2"/>
  </si>
  <si>
    <t>介護③</t>
    <rPh sb="0" eb="2">
      <t>カイゴ</t>
    </rPh>
    <phoneticPr fontId="2"/>
  </si>
  <si>
    <t>介護④</t>
    <rPh sb="0" eb="2">
      <t>カイゴ</t>
    </rPh>
    <phoneticPr fontId="2"/>
  </si>
  <si>
    <t>介護⑤</t>
    <rPh sb="0" eb="2">
      <t>カイゴ</t>
    </rPh>
    <phoneticPr fontId="2"/>
  </si>
  <si>
    <t>介護⑥</t>
    <rPh sb="0" eb="2">
      <t>カイゴ</t>
    </rPh>
    <phoneticPr fontId="2"/>
  </si>
  <si>
    <t>介護⑦</t>
    <rPh sb="0" eb="2">
      <t>カイゴ</t>
    </rPh>
    <phoneticPr fontId="2"/>
  </si>
  <si>
    <t>（１）合計－介護－支援＝医療分</t>
    <rPh sb="3" eb="5">
      <t>ゴウケイ</t>
    </rPh>
    <rPh sb="12" eb="14">
      <t>イリョウ</t>
    </rPh>
    <rPh sb="14" eb="15">
      <t>ブン</t>
    </rPh>
    <phoneticPr fontId="2"/>
  </si>
  <si>
    <t>医療①</t>
    <rPh sb="0" eb="2">
      <t>イリョウ</t>
    </rPh>
    <phoneticPr fontId="2"/>
  </si>
  <si>
    <t>医療②</t>
    <rPh sb="0" eb="2">
      <t>イリョウ</t>
    </rPh>
    <phoneticPr fontId="2"/>
  </si>
  <si>
    <t>医療③</t>
    <rPh sb="0" eb="2">
      <t>イリョウ</t>
    </rPh>
    <phoneticPr fontId="2"/>
  </si>
  <si>
    <t>医療④</t>
    <rPh sb="0" eb="2">
      <t>イリョウ</t>
    </rPh>
    <phoneticPr fontId="2"/>
  </si>
  <si>
    <t>医療⑤</t>
    <rPh sb="0" eb="2">
      <t>イリョウ</t>
    </rPh>
    <phoneticPr fontId="2"/>
  </si>
  <si>
    <t>医療⑥</t>
    <rPh sb="0" eb="2">
      <t>イリョウ</t>
    </rPh>
    <phoneticPr fontId="2"/>
  </si>
  <si>
    <t>医療⑦</t>
    <rPh sb="0" eb="2">
      <t>イリョウ</t>
    </rPh>
    <phoneticPr fontId="2"/>
  </si>
  <si>
    <t>保険料合計①</t>
    <rPh sb="0" eb="3">
      <t>ホケンリョウ</t>
    </rPh>
    <rPh sb="3" eb="5">
      <t>ゴウケイ</t>
    </rPh>
    <phoneticPr fontId="2"/>
  </si>
  <si>
    <t>保険料合計②</t>
    <rPh sb="0" eb="3">
      <t>ホケンリョウ</t>
    </rPh>
    <rPh sb="3" eb="5">
      <t>ゴウケイ</t>
    </rPh>
    <phoneticPr fontId="2"/>
  </si>
  <si>
    <t>保険料合計③</t>
    <rPh sb="0" eb="3">
      <t>ホケンリョウ</t>
    </rPh>
    <rPh sb="3" eb="5">
      <t>ゴウケイ</t>
    </rPh>
    <phoneticPr fontId="2"/>
  </si>
  <si>
    <t>保険料合計④</t>
    <rPh sb="0" eb="3">
      <t>ホケンリョウ</t>
    </rPh>
    <rPh sb="3" eb="5">
      <t>ゴウケイ</t>
    </rPh>
    <phoneticPr fontId="2"/>
  </si>
  <si>
    <t>保険料合計⑤</t>
    <rPh sb="0" eb="3">
      <t>ホケンリョウ</t>
    </rPh>
    <rPh sb="3" eb="5">
      <t>ゴウケイ</t>
    </rPh>
    <phoneticPr fontId="2"/>
  </si>
  <si>
    <t>保険料合計⑥</t>
    <rPh sb="0" eb="3">
      <t>ホケンリョウ</t>
    </rPh>
    <rPh sb="3" eb="5">
      <t>ゴウケイ</t>
    </rPh>
    <phoneticPr fontId="2"/>
  </si>
  <si>
    <t>保険料合計⑦</t>
    <rPh sb="0" eb="3">
      <t>ホケンリョウ</t>
    </rPh>
    <rPh sb="3" eb="5">
      <t>ゴウケイ</t>
    </rPh>
    <phoneticPr fontId="2"/>
  </si>
  <si>
    <t>⇒</t>
    <phoneticPr fontId="2"/>
  </si>
  <si>
    <t>（1）そのままコピー</t>
    <phoneticPr fontId="2"/>
  </si>
  <si>
    <t>(2)医療分合計と個人①との差</t>
    <rPh sb="3" eb="5">
      <t>イリョウ</t>
    </rPh>
    <rPh sb="5" eb="6">
      <t>ブン</t>
    </rPh>
    <rPh sb="6" eb="8">
      <t>ゴウケイ</t>
    </rPh>
    <rPh sb="9" eb="11">
      <t>コジン</t>
    </rPh>
    <rPh sb="14" eb="15">
      <t>サ</t>
    </rPh>
    <phoneticPr fontId="2"/>
  </si>
  <si>
    <t>↓</t>
    <phoneticPr fontId="2"/>
  </si>
  <si>
    <t>複写</t>
    <rPh sb="0" eb="2">
      <t>フクシャ</t>
    </rPh>
    <phoneticPr fontId="2"/>
  </si>
  <si>
    <t>(3）</t>
    <phoneticPr fontId="2"/>
  </si>
  <si>
    <t>　（２）を人数で割る</t>
    <phoneticPr fontId="2"/>
  </si>
  <si>
    <t>(４)支援分合計と個人①との差</t>
    <rPh sb="3" eb="5">
      <t>シエン</t>
    </rPh>
    <rPh sb="5" eb="6">
      <t>ブン</t>
    </rPh>
    <rPh sb="6" eb="8">
      <t>ゴウケイ</t>
    </rPh>
    <rPh sb="9" eb="11">
      <t>コジン</t>
    </rPh>
    <rPh sb="14" eb="15">
      <t>サ</t>
    </rPh>
    <phoneticPr fontId="2"/>
  </si>
  <si>
    <t>(５）</t>
    <phoneticPr fontId="2"/>
  </si>
  <si>
    <t>（６）</t>
    <phoneticPr fontId="2"/>
  </si>
  <si>
    <t>支援分保険料計</t>
    <rPh sb="0" eb="2">
      <t>シエン</t>
    </rPh>
    <rPh sb="2" eb="3">
      <t>ブン</t>
    </rPh>
    <rPh sb="3" eb="6">
      <t>ホケンリョウ</t>
    </rPh>
    <rPh sb="6" eb="7">
      <t>ケイ</t>
    </rPh>
    <phoneticPr fontId="2"/>
  </si>
  <si>
    <t>↑</t>
    <phoneticPr fontId="2"/>
  </si>
  <si>
    <t>医療分保険料計</t>
    <rPh sb="0" eb="2">
      <t>イリョウ</t>
    </rPh>
    <rPh sb="2" eb="3">
      <t>ブン</t>
    </rPh>
    <rPh sb="3" eb="6">
      <t>ホケンリョウ</t>
    </rPh>
    <rPh sb="6" eb="7">
      <t>ケイ</t>
    </rPh>
    <phoneticPr fontId="2"/>
  </si>
  <si>
    <t>医療分 個別計とチェック</t>
    <rPh sb="0" eb="2">
      <t>イリョウ</t>
    </rPh>
    <rPh sb="2" eb="3">
      <t>ブン</t>
    </rPh>
    <rPh sb="4" eb="6">
      <t>コベツ</t>
    </rPh>
    <rPh sb="6" eb="7">
      <t>ケイ</t>
    </rPh>
    <phoneticPr fontId="2"/>
  </si>
  <si>
    <t>支援分 個別計とチェック</t>
    <rPh sb="0" eb="2">
      <t>シエン</t>
    </rPh>
    <rPh sb="2" eb="3">
      <t>ブン</t>
    </rPh>
    <rPh sb="4" eb="6">
      <t>コベツ</t>
    </rPh>
    <rPh sb="6" eb="7">
      <t>ケイ</t>
    </rPh>
    <phoneticPr fontId="2"/>
  </si>
  <si>
    <t>介護分 個別計とチェック</t>
    <rPh sb="0" eb="2">
      <t>カイゴ</t>
    </rPh>
    <rPh sb="2" eb="3">
      <t>ブン</t>
    </rPh>
    <rPh sb="4" eb="6">
      <t>コベツ</t>
    </rPh>
    <rPh sb="6" eb="7">
      <t>ケイ</t>
    </rPh>
    <phoneticPr fontId="2"/>
  </si>
  <si>
    <t>≒</t>
    <phoneticPr fontId="2"/>
  </si>
  <si>
    <t>　　↓②～⑦の調整後</t>
    <rPh sb="7" eb="9">
      <t>チョウセイ</t>
    </rPh>
    <rPh sb="9" eb="10">
      <t>ゴ</t>
    </rPh>
    <phoneticPr fontId="2"/>
  </si>
  <si>
    <t>　↑②～⑦の調整後</t>
    <phoneticPr fontId="2"/>
  </si>
  <si>
    <t>給与収入</t>
    <rPh sb="0" eb="2">
      <t>キュウヨ</t>
    </rPh>
    <rPh sb="2" eb="4">
      <t>シュウニュウ</t>
    </rPh>
    <phoneticPr fontId="2"/>
  </si>
  <si>
    <t>給与所得</t>
    <rPh sb="0" eb="2">
      <t>キュウヨ</t>
    </rPh>
    <rPh sb="2" eb="4">
      <t>ショトク</t>
    </rPh>
    <phoneticPr fontId="2"/>
  </si>
  <si>
    <t>年金収入</t>
    <rPh sb="0" eb="2">
      <t>ネンキン</t>
    </rPh>
    <rPh sb="2" eb="4">
      <t>シュウニュウ</t>
    </rPh>
    <phoneticPr fontId="2"/>
  </si>
  <si>
    <t>年金所得</t>
    <rPh sb="0" eb="2">
      <t>ネンキン</t>
    </rPh>
    <rPh sb="2" eb="4">
      <t>ショトク</t>
    </rPh>
    <phoneticPr fontId="2"/>
  </si>
  <si>
    <t>その他所得</t>
    <rPh sb="2" eb="3">
      <t>タ</t>
    </rPh>
    <rPh sb="3" eb="5">
      <t>ショトク</t>
    </rPh>
    <phoneticPr fontId="2"/>
  </si>
  <si>
    <t>合計所得</t>
    <rPh sb="0" eb="2">
      <t>ゴウケイ</t>
    </rPh>
    <rPh sb="2" eb="4">
      <t>ショトク</t>
    </rPh>
    <phoneticPr fontId="2"/>
  </si>
  <si>
    <t>①</t>
    <phoneticPr fontId="2"/>
  </si>
  <si>
    <t>④</t>
    <phoneticPr fontId="2"/>
  </si>
  <si>
    <t>国保加入者</t>
    <rPh sb="0" eb="2">
      <t>コクホ</t>
    </rPh>
    <rPh sb="2" eb="5">
      <t>カニュウシャ</t>
    </rPh>
    <phoneticPr fontId="2"/>
  </si>
  <si>
    <t>国保加入者</t>
    <rPh sb="0" eb="5">
      <t>コクホカニュウシャ</t>
    </rPh>
    <phoneticPr fontId="2"/>
  </si>
  <si>
    <t>今年度国保料額</t>
    <rPh sb="0" eb="3">
      <t>コンネンド</t>
    </rPh>
    <rPh sb="3" eb="6">
      <t>コクホリョウ</t>
    </rPh>
    <rPh sb="6" eb="7">
      <t>ガク</t>
    </rPh>
    <phoneticPr fontId="2"/>
  </si>
  <si>
    <t>１ヵ月あたり</t>
    <rPh sb="2" eb="3">
      <t>ゲツ</t>
    </rPh>
    <phoneticPr fontId="2"/>
  </si>
  <si>
    <t>（</t>
    <phoneticPr fontId="2"/>
  </si>
  <si>
    <t>月</t>
    <rPh sb="0" eb="1">
      <t>ツキ</t>
    </rPh>
    <phoneticPr fontId="2"/>
  </si>
  <si>
    <t>ｹ</t>
    <phoneticPr fontId="2"/>
  </si>
  <si>
    <t>分）</t>
    <rPh sb="0" eb="1">
      <t>ブン</t>
    </rPh>
    <phoneticPr fontId="2"/>
  </si>
  <si>
    <t>➡</t>
    <phoneticPr fontId="2"/>
  </si>
  <si>
    <t>医療</t>
    <rPh sb="0" eb="2">
      <t>イリョウ</t>
    </rPh>
    <phoneticPr fontId="2"/>
  </si>
  <si>
    <t>支援</t>
    <rPh sb="0" eb="2">
      <t>シエン</t>
    </rPh>
    <phoneticPr fontId="2"/>
  </si>
  <si>
    <t>介護</t>
    <rPh sb="0" eb="2">
      <t>カイゴ</t>
    </rPh>
    <phoneticPr fontId="2"/>
  </si>
  <si>
    <t>（内訳）</t>
    <rPh sb="1" eb="3">
      <t>ウチワケ</t>
    </rPh>
    <phoneticPr fontId="2"/>
  </si>
  <si>
    <t>すでに国保に加入している家族</t>
    <rPh sb="3" eb="5">
      <t>コクホ</t>
    </rPh>
    <rPh sb="6" eb="8">
      <t>カニュウ</t>
    </rPh>
    <rPh sb="12" eb="14">
      <t>カゾク</t>
    </rPh>
    <phoneticPr fontId="2"/>
  </si>
  <si>
    <t>名</t>
    <rPh sb="0" eb="1">
      <t>メイ</t>
    </rPh>
    <phoneticPr fontId="2"/>
  </si>
  <si>
    <t>その家族の国保料</t>
    <rPh sb="2" eb="4">
      <t>カゾク</t>
    </rPh>
    <rPh sb="5" eb="8">
      <t>コクホリョウ</t>
    </rPh>
    <phoneticPr fontId="2"/>
  </si>
  <si>
    <t>増加分</t>
    <rPh sb="0" eb="3">
      <t>ゾウカブン</t>
    </rPh>
    <phoneticPr fontId="2"/>
  </si>
  <si>
    <t>ヵ月分</t>
    <rPh sb="1" eb="2">
      <t>ゲツ</t>
    </rPh>
    <rPh sb="2" eb="3">
      <t>ブン</t>
    </rPh>
    <phoneticPr fontId="2"/>
  </si>
  <si>
    <t>６月末日</t>
    <rPh sb="1" eb="2">
      <t>ガツ</t>
    </rPh>
    <rPh sb="2" eb="4">
      <t>マツジツ</t>
    </rPh>
    <phoneticPr fontId="2"/>
  </si>
  <si>
    <t>７月末日</t>
    <rPh sb="1" eb="2">
      <t>ガツ</t>
    </rPh>
    <rPh sb="2" eb="4">
      <t>マツジツ</t>
    </rPh>
    <phoneticPr fontId="2"/>
  </si>
  <si>
    <t>８月末日</t>
    <rPh sb="1" eb="2">
      <t>ガツ</t>
    </rPh>
    <rPh sb="2" eb="4">
      <t>マツジツ</t>
    </rPh>
    <phoneticPr fontId="2"/>
  </si>
  <si>
    <t>９月末日</t>
    <rPh sb="1" eb="2">
      <t>ガツ</t>
    </rPh>
    <rPh sb="2" eb="4">
      <t>マツジツ</t>
    </rPh>
    <phoneticPr fontId="2"/>
  </si>
  <si>
    <t>１０月末日</t>
    <rPh sb="2" eb="3">
      <t>ガツ</t>
    </rPh>
    <rPh sb="3" eb="5">
      <t>マツジツ</t>
    </rPh>
    <phoneticPr fontId="2"/>
  </si>
  <si>
    <t>１１月末日</t>
    <rPh sb="2" eb="3">
      <t>ガツ</t>
    </rPh>
    <rPh sb="3" eb="5">
      <t>マツジツ</t>
    </rPh>
    <phoneticPr fontId="2"/>
  </si>
  <si>
    <t>１２月末日</t>
    <rPh sb="2" eb="3">
      <t>ガツ</t>
    </rPh>
    <rPh sb="3" eb="5">
      <t>マツジツ</t>
    </rPh>
    <phoneticPr fontId="2"/>
  </si>
  <si>
    <t>１月末日</t>
    <rPh sb="1" eb="2">
      <t>ガツ</t>
    </rPh>
    <rPh sb="2" eb="4">
      <t>マツジツ</t>
    </rPh>
    <phoneticPr fontId="2"/>
  </si>
  <si>
    <t>２月末日</t>
    <rPh sb="1" eb="2">
      <t>ガツ</t>
    </rPh>
    <rPh sb="2" eb="4">
      <t>マツジツ</t>
    </rPh>
    <phoneticPr fontId="2"/>
  </si>
  <si>
    <t>３月末日</t>
    <rPh sb="1" eb="2">
      <t>ガツ</t>
    </rPh>
    <rPh sb="2" eb="4">
      <t>マツジツ</t>
    </rPh>
    <phoneticPr fontId="2"/>
  </si>
  <si>
    <t>支払期日</t>
    <rPh sb="0" eb="2">
      <t>シハラ</t>
    </rPh>
    <rPh sb="2" eb="4">
      <t>キジツ</t>
    </rPh>
    <phoneticPr fontId="2"/>
  </si>
  <si>
    <t>支 払 回 数 割 額</t>
    <rPh sb="0" eb="1">
      <t>シ</t>
    </rPh>
    <rPh sb="2" eb="3">
      <t>フツ</t>
    </rPh>
    <rPh sb="4" eb="5">
      <t>カイ</t>
    </rPh>
    <rPh sb="6" eb="7">
      <t>カズ</t>
    </rPh>
    <rPh sb="8" eb="9">
      <t>ワリ</t>
    </rPh>
    <rPh sb="10" eb="11">
      <t>ガク</t>
    </rPh>
    <phoneticPr fontId="2"/>
  </si>
  <si>
    <t>※末日が土日祝の場合は、翌営業日が支払期日となります</t>
    <rPh sb="1" eb="3">
      <t>マツジツ</t>
    </rPh>
    <rPh sb="4" eb="6">
      <t>ドニチ</t>
    </rPh>
    <rPh sb="6" eb="7">
      <t>シュク</t>
    </rPh>
    <rPh sb="8" eb="10">
      <t>バアイ</t>
    </rPh>
    <rPh sb="12" eb="13">
      <t>ヨク</t>
    </rPh>
    <rPh sb="13" eb="16">
      <t>エイギョウビ</t>
    </rPh>
    <rPh sb="17" eb="19">
      <t>シハラ</t>
    </rPh>
    <rPh sb="19" eb="21">
      <t>キジツ</t>
    </rPh>
    <phoneticPr fontId="2"/>
  </si>
  <si>
    <t>今年度は、均等割・平等割が</t>
  </si>
  <si>
    <t>高齢受給者受診時負担割合</t>
    <rPh sb="0" eb="2">
      <t>コウレイ</t>
    </rPh>
    <rPh sb="2" eb="5">
      <t>ジュキュウシャ</t>
    </rPh>
    <rPh sb="5" eb="7">
      <t>ジュシン</t>
    </rPh>
    <rPh sb="7" eb="8">
      <t>ジ</t>
    </rPh>
    <rPh sb="8" eb="10">
      <t>フタン</t>
    </rPh>
    <rPh sb="10" eb="12">
      <t>ワリアイ</t>
    </rPh>
    <phoneticPr fontId="2"/>
  </si>
  <si>
    <t>割</t>
    <rPh sb="0" eb="1">
      <t>ワリ</t>
    </rPh>
    <phoneticPr fontId="2"/>
  </si>
  <si>
    <t>※</t>
    <phoneticPr fontId="2"/>
  </si>
  <si>
    <t>※</t>
    <phoneticPr fontId="2"/>
  </si>
  <si>
    <t>　</t>
    <phoneticPr fontId="2"/>
  </si>
  <si>
    <t>詳しくは、裏面「保険料の軽減について」をご参照ください</t>
  </si>
  <si>
    <t>この計算書は、計算時点で判明している世帯構成や所得等、またはご提示いただいた世帯構成や所得等に基づき計算して</t>
    <rPh sb="2" eb="5">
      <t>ケイサンショ</t>
    </rPh>
    <rPh sb="7" eb="9">
      <t>ケイサン</t>
    </rPh>
    <rPh sb="9" eb="11">
      <t>ジテン</t>
    </rPh>
    <rPh sb="12" eb="14">
      <t>ハンメイ</t>
    </rPh>
    <rPh sb="18" eb="20">
      <t>セタイ</t>
    </rPh>
    <rPh sb="20" eb="22">
      <t>コウセイ</t>
    </rPh>
    <rPh sb="23" eb="25">
      <t>ショトク</t>
    </rPh>
    <rPh sb="25" eb="26">
      <t>トウ</t>
    </rPh>
    <rPh sb="31" eb="33">
      <t>テイジ</t>
    </rPh>
    <rPh sb="38" eb="40">
      <t>セタイ</t>
    </rPh>
    <rPh sb="40" eb="42">
      <t>コウセイ</t>
    </rPh>
    <rPh sb="43" eb="45">
      <t>ショトク</t>
    </rPh>
    <rPh sb="45" eb="46">
      <t>トウ</t>
    </rPh>
    <rPh sb="47" eb="48">
      <t>モト</t>
    </rPh>
    <rPh sb="50" eb="52">
      <t>ケイサン</t>
    </rPh>
    <phoneticPr fontId="2"/>
  </si>
  <si>
    <t>「特定受給者」や「特定理由離職者」と認められた方です。詳しくはお問い合わせください。</t>
    <rPh sb="3" eb="6">
      <t>ジュキュウシャ</t>
    </rPh>
    <rPh sb="9" eb="11">
      <t>トクテイ</t>
    </rPh>
    <rPh sb="11" eb="13">
      <t>リユウ</t>
    </rPh>
    <rPh sb="13" eb="15">
      <t>リショク</t>
    </rPh>
    <rPh sb="15" eb="16">
      <t>シャ</t>
    </rPh>
    <rPh sb="18" eb="19">
      <t>ミト</t>
    </rPh>
    <rPh sb="23" eb="24">
      <t>カタ</t>
    </rPh>
    <rPh sb="27" eb="28">
      <t>クワ</t>
    </rPh>
    <rPh sb="32" eb="33">
      <t>ト</t>
    </rPh>
    <rPh sb="34" eb="35">
      <t>ア</t>
    </rPh>
    <phoneticPr fontId="2"/>
  </si>
  <si>
    <t>割軽減</t>
    <rPh sb="0" eb="1">
      <t>ワリ</t>
    </rPh>
    <rPh sb="1" eb="3">
      <t>ケイゲン</t>
    </rPh>
    <phoneticPr fontId="2"/>
  </si>
  <si>
    <t>となります</t>
    <phoneticPr fontId="2"/>
  </si>
  <si>
    <t>約</t>
    <rPh sb="0" eb="1">
      <t>ヤク</t>
    </rPh>
    <phoneticPr fontId="2"/>
  </si>
  <si>
    <t>支払い開始月</t>
    <rPh sb="0" eb="2">
      <t>シハラ</t>
    </rPh>
    <rPh sb="3" eb="5">
      <t>カイシ</t>
    </rPh>
    <rPh sb="5" eb="6">
      <t>ツキ</t>
    </rPh>
    <phoneticPr fontId="2"/>
  </si>
  <si>
    <t>月</t>
    <rPh sb="0" eb="1">
      <t>ガツ</t>
    </rPh>
    <phoneticPr fontId="2"/>
  </si>
  <si>
    <t>初回</t>
    <rPh sb="0" eb="2">
      <t>ショカイ</t>
    </rPh>
    <phoneticPr fontId="2"/>
  </si>
  <si>
    <t>担当</t>
    <rPh sb="0" eb="2">
      <t>タントウ</t>
    </rPh>
    <phoneticPr fontId="2"/>
  </si>
  <si>
    <t>受付日</t>
    <rPh sb="0" eb="2">
      <t>ウケツケ</t>
    </rPh>
    <rPh sb="2" eb="3">
      <t>ヒ</t>
    </rPh>
    <phoneticPr fontId="2"/>
  </si>
  <si>
    <t>国民健康保険の脱退や転居等の異動があった場合はすみやかに届出をお願いします</t>
  </si>
  <si>
    <t>Pay - easy　（ペイジー）口座振替受付サービスをご利用ください</t>
    <rPh sb="17" eb="19">
      <t>コウザ</t>
    </rPh>
    <rPh sb="19" eb="21">
      <t>フリカエ</t>
    </rPh>
    <rPh sb="21" eb="23">
      <t>ウケツケ</t>
    </rPh>
    <rPh sb="29" eb="31">
      <t>リヨウ</t>
    </rPh>
    <phoneticPr fontId="2"/>
  </si>
  <si>
    <t>以下の金融機関のキャッシュカードをお持ちでしたら、市役所窓口で</t>
    <rPh sb="0" eb="2">
      <t>イカ</t>
    </rPh>
    <rPh sb="3" eb="5">
      <t>キンユウ</t>
    </rPh>
    <rPh sb="5" eb="7">
      <t>キカン</t>
    </rPh>
    <rPh sb="18" eb="19">
      <t>モ</t>
    </rPh>
    <rPh sb="25" eb="28">
      <t>シヤクショ</t>
    </rPh>
    <rPh sb="28" eb="30">
      <t>マドグチ</t>
    </rPh>
    <phoneticPr fontId="2"/>
  </si>
  <si>
    <t>簡単に口座振替の申込ができます。</t>
    <rPh sb="0" eb="2">
      <t>カンタン</t>
    </rPh>
    <rPh sb="3" eb="5">
      <t>コウザ</t>
    </rPh>
    <rPh sb="5" eb="7">
      <t>フリカエ</t>
    </rPh>
    <rPh sb="8" eb="10">
      <t>モウシコミ</t>
    </rPh>
    <phoneticPr fontId="2"/>
  </si>
  <si>
    <t>この加入月数が月割額に反映</t>
    <rPh sb="2" eb="4">
      <t>カニュウ</t>
    </rPh>
    <rPh sb="4" eb="5">
      <t>ツキ</t>
    </rPh>
    <rPh sb="5" eb="6">
      <t>スウ</t>
    </rPh>
    <rPh sb="7" eb="9">
      <t>ツキワリ</t>
    </rPh>
    <rPh sb="9" eb="10">
      <t>ガク</t>
    </rPh>
    <rPh sb="11" eb="13">
      <t>ハンエイ</t>
    </rPh>
    <phoneticPr fontId="2"/>
  </si>
  <si>
    <t>　注：①の国保加入月数が月割額に反映される</t>
    <rPh sb="1" eb="2">
      <t>チュウ</t>
    </rPh>
    <rPh sb="5" eb="7">
      <t>コクホ</t>
    </rPh>
    <rPh sb="7" eb="9">
      <t>カニュウ</t>
    </rPh>
    <rPh sb="9" eb="10">
      <t>ツキ</t>
    </rPh>
    <rPh sb="10" eb="11">
      <t>スウ</t>
    </rPh>
    <rPh sb="12" eb="14">
      <t>ツキワリ</t>
    </rPh>
    <rPh sb="14" eb="15">
      <t>ガク</t>
    </rPh>
    <rPh sb="16" eb="18">
      <t>ハンエイ</t>
    </rPh>
    <phoneticPr fontId="2"/>
  </si>
  <si>
    <t>　注：介護保険該当者は①から入力する｡</t>
    <rPh sb="1" eb="2">
      <t>チュウ</t>
    </rPh>
    <rPh sb="3" eb="5">
      <t>カイゴ</t>
    </rPh>
    <rPh sb="5" eb="7">
      <t>ホケン</t>
    </rPh>
    <rPh sb="7" eb="10">
      <t>ガイトウシャ</t>
    </rPh>
    <rPh sb="14" eb="16">
      <t>ニュウリョク</t>
    </rPh>
    <phoneticPr fontId="2"/>
  </si>
  <si>
    <t>世帯主（支払義務者）</t>
    <rPh sb="0" eb="3">
      <t>セタイヌシ</t>
    </rPh>
    <rPh sb="4" eb="6">
      <t>シハラ</t>
    </rPh>
    <rPh sb="6" eb="8">
      <t>ギム</t>
    </rPh>
    <rPh sb="8" eb="9">
      <t>シャ</t>
    </rPh>
    <phoneticPr fontId="2"/>
  </si>
  <si>
    <r>
      <t>います。</t>
    </r>
    <r>
      <rPr>
        <b/>
        <sz val="10"/>
        <rFont val="ＭＳ Ｐゴシック"/>
        <family val="3"/>
        <charset val="128"/>
      </rPr>
      <t>世帯構成や所得等に変更があった場合は、金額も変わりますのでご承知おきください。</t>
    </r>
    <rPh sb="4" eb="6">
      <t>セタイ</t>
    </rPh>
    <rPh sb="6" eb="8">
      <t>コウセイ</t>
    </rPh>
    <rPh sb="9" eb="11">
      <t>ショトク</t>
    </rPh>
    <rPh sb="11" eb="12">
      <t>トウ</t>
    </rPh>
    <rPh sb="13" eb="15">
      <t>ヘンコウ</t>
    </rPh>
    <rPh sb="19" eb="21">
      <t>バアイ</t>
    </rPh>
    <rPh sb="23" eb="25">
      <t>キンガク</t>
    </rPh>
    <rPh sb="26" eb="27">
      <t>カ</t>
    </rPh>
    <rPh sb="34" eb="36">
      <t>ショウチ</t>
    </rPh>
    <phoneticPr fontId="2"/>
  </si>
  <si>
    <r>
      <rPr>
        <b/>
        <sz val="10"/>
        <rFont val="ＭＳ Ｐゴシック"/>
        <family val="3"/>
        <charset val="128"/>
      </rPr>
      <t>非自発的失業者については、給与所得を30/100として計算することができます。</t>
    </r>
    <r>
      <rPr>
        <sz val="10"/>
        <rFont val="ＭＳ Ｐゴシック"/>
        <family val="3"/>
        <charset val="128"/>
      </rPr>
      <t>非自発的失業者とは、雇用保険で</t>
    </r>
    <phoneticPr fontId="2"/>
  </si>
  <si>
    <t>※　納付方法について</t>
    <rPh sb="2" eb="4">
      <t>ノウフ</t>
    </rPh>
    <rPh sb="4" eb="6">
      <t>ホウホウ</t>
    </rPh>
    <phoneticPr fontId="2"/>
  </si>
  <si>
    <t>※　保険料の軽減について</t>
    <rPh sb="2" eb="5">
      <t>ホケンリョウ</t>
    </rPh>
    <rPh sb="6" eb="8">
      <t>ケイゲン</t>
    </rPh>
    <phoneticPr fontId="2"/>
  </si>
  <si>
    <t>京都銀行・京都信用金庫・京都中央信用金庫・南都銀行・ゆうちょ銀行・郵便局・</t>
    <rPh sb="0" eb="2">
      <t>キョウト</t>
    </rPh>
    <rPh sb="2" eb="4">
      <t>ギンコウ</t>
    </rPh>
    <rPh sb="5" eb="7">
      <t>キョウト</t>
    </rPh>
    <rPh sb="7" eb="9">
      <t>シンヨウ</t>
    </rPh>
    <rPh sb="9" eb="11">
      <t>キンコ</t>
    </rPh>
    <rPh sb="12" eb="14">
      <t>キョウト</t>
    </rPh>
    <rPh sb="14" eb="16">
      <t>チュウオウ</t>
    </rPh>
    <rPh sb="16" eb="18">
      <t>シンヨウ</t>
    </rPh>
    <rPh sb="18" eb="20">
      <t>キンコ</t>
    </rPh>
    <rPh sb="21" eb="23">
      <t>ナント</t>
    </rPh>
    <rPh sb="23" eb="25">
      <t>ギンコウ</t>
    </rPh>
    <rPh sb="30" eb="32">
      <t>ギンコウ</t>
    </rPh>
    <rPh sb="33" eb="36">
      <t>ユウビンキョク</t>
    </rPh>
    <phoneticPr fontId="2"/>
  </si>
  <si>
    <t>京都やましろ農業協同組合</t>
  </si>
  <si>
    <t>７割軽減　…　所得４３万円＋１０万円×（給与所得者等の数－１）以下の世帯</t>
    <rPh sb="1" eb="2">
      <t>ワリ</t>
    </rPh>
    <rPh sb="2" eb="4">
      <t>ケイゲン</t>
    </rPh>
    <rPh sb="7" eb="9">
      <t>ショトク</t>
    </rPh>
    <rPh sb="11" eb="13">
      <t>マンエン</t>
    </rPh>
    <rPh sb="16" eb="18">
      <t>マンエン</t>
    </rPh>
    <rPh sb="20" eb="25">
      <t>キュウヨショトクシャ</t>
    </rPh>
    <rPh sb="25" eb="26">
      <t>トウ</t>
    </rPh>
    <rPh sb="27" eb="28">
      <t>カズ</t>
    </rPh>
    <rPh sb="31" eb="33">
      <t>イカ</t>
    </rPh>
    <rPh sb="34" eb="36">
      <t>セタイ</t>
    </rPh>
    <phoneticPr fontId="2"/>
  </si>
  <si>
    <r>
      <rPr>
        <b/>
        <sz val="17"/>
        <rFont val="ＭＳ Ｐゴシック"/>
        <family val="3"/>
        <charset val="128"/>
      </rPr>
      <t>令和３年度　城陽市国民健康保険料算出表</t>
    </r>
    <r>
      <rPr>
        <b/>
        <sz val="12"/>
        <rFont val="ＭＳ Ｐゴシック"/>
        <family val="3"/>
        <charset val="128"/>
      </rPr>
      <t xml:space="preserve">
　　</t>
    </r>
    <r>
      <rPr>
        <b/>
        <sz val="11"/>
        <rFont val="ＭＳ Ｐゴシック"/>
        <family val="3"/>
        <charset val="128"/>
      </rPr>
      <t>　　</t>
    </r>
    <r>
      <rPr>
        <b/>
        <sz val="14"/>
        <rFont val="ＭＳ Ｐゴシック"/>
        <family val="3"/>
        <charset val="128"/>
      </rPr>
      <t>　（令和３年４月～令和４年３月）</t>
    </r>
    <rPh sb="0" eb="2">
      <t>レイワ</t>
    </rPh>
    <rPh sb="3" eb="5">
      <t>ネンド</t>
    </rPh>
    <rPh sb="5" eb="7">
      <t>ヘイネンド</t>
    </rPh>
    <rPh sb="6" eb="9">
      <t>ジョウヨウシ</t>
    </rPh>
    <rPh sb="9" eb="11">
      <t>コクミン</t>
    </rPh>
    <rPh sb="11" eb="13">
      <t>ケンコウ</t>
    </rPh>
    <rPh sb="13" eb="16">
      <t>ホケンリョウ</t>
    </rPh>
    <rPh sb="16" eb="18">
      <t>サンシュツ</t>
    </rPh>
    <rPh sb="18" eb="19">
      <t>ヒョウ</t>
    </rPh>
    <rPh sb="26" eb="28">
      <t>レイワ</t>
    </rPh>
    <rPh sb="29" eb="30">
      <t>ネン</t>
    </rPh>
    <rPh sb="30" eb="31">
      <t>ヘイネン</t>
    </rPh>
    <rPh sb="31" eb="32">
      <t>ガツ</t>
    </rPh>
    <rPh sb="33" eb="34">
      <t>レイ</t>
    </rPh>
    <rPh sb="34" eb="35">
      <t>カズ</t>
    </rPh>
    <rPh sb="36" eb="37">
      <t>ネン</t>
    </rPh>
    <rPh sb="37" eb="38">
      <t>ヘイネン</t>
    </rPh>
    <rPh sb="38" eb="39">
      <t>ガツ</t>
    </rPh>
    <phoneticPr fontId="2"/>
  </si>
  <si>
    <t>☆上書き保存はしないでください</t>
    <rPh sb="1" eb="3">
      <t>ウワガ</t>
    </rPh>
    <rPh sb="4" eb="6">
      <t>ホゾン</t>
    </rPh>
    <phoneticPr fontId="2"/>
  </si>
  <si>
    <t>計算表（給与所得者等の数と被保険者数を入力してください）</t>
    <rPh sb="0" eb="2">
      <t>ケイサン</t>
    </rPh>
    <rPh sb="2" eb="3">
      <t>ヒョウ</t>
    </rPh>
    <rPh sb="4" eb="9">
      <t>キュウヨショトクシャ</t>
    </rPh>
    <rPh sb="9" eb="10">
      <t>トウ</t>
    </rPh>
    <rPh sb="11" eb="12">
      <t>カズ</t>
    </rPh>
    <rPh sb="13" eb="17">
      <t>ヒホケンシャ</t>
    </rPh>
    <rPh sb="17" eb="18">
      <t>スウ</t>
    </rPh>
    <rPh sb="19" eb="21">
      <t>ニュウリョク</t>
    </rPh>
    <phoneticPr fontId="110"/>
  </si>
  <si>
    <t>被保険者数(※1)</t>
    <rPh sb="0" eb="5">
      <t>ヒホケンシャスウ</t>
    </rPh>
    <phoneticPr fontId="110"/>
  </si>
  <si>
    <t>給与所得者等の数（※2）</t>
    <rPh sb="0" eb="6">
      <t>キュウヨショトクシャトウ</t>
    </rPh>
    <rPh sb="7" eb="8">
      <t>カズ</t>
    </rPh>
    <phoneticPr fontId="110"/>
  </si>
  <si>
    <t>7割軽減基準額</t>
    <rPh sb="1" eb="2">
      <t>ワリ</t>
    </rPh>
    <rPh sb="2" eb="4">
      <t>ケイゲン</t>
    </rPh>
    <rPh sb="4" eb="6">
      <t>キジュン</t>
    </rPh>
    <rPh sb="6" eb="7">
      <t>ガク</t>
    </rPh>
    <phoneticPr fontId="110"/>
  </si>
  <si>
    <t>5割軽減基準額</t>
    <rPh sb="1" eb="2">
      <t>ワリ</t>
    </rPh>
    <rPh sb="2" eb="4">
      <t>ケイゲン</t>
    </rPh>
    <rPh sb="4" eb="7">
      <t>キジュンガク</t>
    </rPh>
    <phoneticPr fontId="110"/>
  </si>
  <si>
    <t>２割軽減基準額</t>
    <rPh sb="1" eb="2">
      <t>ワリ</t>
    </rPh>
    <rPh sb="2" eb="4">
      <t>ケイゲン</t>
    </rPh>
    <rPh sb="4" eb="6">
      <t>キジュン</t>
    </rPh>
    <rPh sb="6" eb="7">
      <t>ガク</t>
    </rPh>
    <phoneticPr fontId="110"/>
  </si>
  <si>
    <t>★給与所得者等が２名以上いる場合に使用してください。</t>
    <rPh sb="1" eb="7">
      <t>キュウヨショトクシャトウ</t>
    </rPh>
    <rPh sb="9" eb="10">
      <t>メイ</t>
    </rPh>
    <rPh sb="10" eb="12">
      <t>イジョウ</t>
    </rPh>
    <rPh sb="14" eb="16">
      <t>バアイ</t>
    </rPh>
    <rPh sb="17" eb="19">
      <t>シヨウ</t>
    </rPh>
    <phoneticPr fontId="110"/>
  </si>
  <si>
    <t>（※1）被保険者には旧国該当者を含みます。</t>
    <rPh sb="4" eb="8">
      <t>ヒホケンシャ</t>
    </rPh>
    <rPh sb="10" eb="11">
      <t>キュウ</t>
    </rPh>
    <rPh sb="11" eb="12">
      <t>クニ</t>
    </rPh>
    <rPh sb="12" eb="15">
      <t>ガイトウシャ</t>
    </rPh>
    <rPh sb="16" eb="17">
      <t>フク</t>
    </rPh>
    <phoneticPr fontId="110"/>
  </si>
  <si>
    <t>（※2）給与所得者等の数は世帯主、被保険者及び特定同一世帯所属者のうち、一定の給
　　　　与所得者または公的年金に係る所得を有する人の合計人数をいいます。</t>
    <rPh sb="4" eb="6">
      <t>キュウヨ</t>
    </rPh>
    <rPh sb="6" eb="8">
      <t>ショトク</t>
    </rPh>
    <rPh sb="8" eb="9">
      <t>シャ</t>
    </rPh>
    <rPh sb="9" eb="10">
      <t>トウ</t>
    </rPh>
    <rPh sb="11" eb="12">
      <t>カズ</t>
    </rPh>
    <rPh sb="13" eb="16">
      <t>セタイヌシ</t>
    </rPh>
    <rPh sb="17" eb="21">
      <t>ヒホケンシャ</t>
    </rPh>
    <rPh sb="21" eb="22">
      <t>オヨ</t>
    </rPh>
    <rPh sb="23" eb="32">
      <t>トクテイドウイツセタイショゾクシャ</t>
    </rPh>
    <rPh sb="36" eb="38">
      <t>イッテイ</t>
    </rPh>
    <rPh sb="39" eb="40">
      <t>キュウ</t>
    </rPh>
    <rPh sb="45" eb="46">
      <t>ヨ</t>
    </rPh>
    <rPh sb="46" eb="48">
      <t>ショトク</t>
    </rPh>
    <rPh sb="48" eb="49">
      <t>シャ</t>
    </rPh>
    <rPh sb="52" eb="54">
      <t>コウテキ</t>
    </rPh>
    <rPh sb="54" eb="56">
      <t>ネンキン</t>
    </rPh>
    <rPh sb="57" eb="58">
      <t>カカ</t>
    </rPh>
    <rPh sb="59" eb="61">
      <t>ショトク</t>
    </rPh>
    <rPh sb="62" eb="63">
      <t>ユウ</t>
    </rPh>
    <rPh sb="65" eb="66">
      <t>ヒト</t>
    </rPh>
    <rPh sb="67" eb="69">
      <t>ゴウケイ</t>
    </rPh>
    <rPh sb="69" eb="71">
      <t>ニンズウ</t>
    </rPh>
    <phoneticPr fontId="110"/>
  </si>
  <si>
    <t>７割軽減　…所得が43万円＋10万円×（給与所得者等の数－１）以下の世帯</t>
    <rPh sb="1" eb="2">
      <t>ワリ</t>
    </rPh>
    <rPh sb="2" eb="4">
      <t>ケイゲン</t>
    </rPh>
    <phoneticPr fontId="2"/>
  </si>
  <si>
    <t>2人目</t>
    <rPh sb="0" eb="3">
      <t>フタリメ</t>
    </rPh>
    <phoneticPr fontId="2"/>
  </si>
  <si>
    <t>3人目</t>
    <rPh sb="0" eb="3">
      <t>サンニンメ</t>
    </rPh>
    <phoneticPr fontId="2"/>
  </si>
  <si>
    <t>4人目</t>
    <rPh sb="0" eb="2">
      <t>ヒトリ</t>
    </rPh>
    <rPh sb="2" eb="3">
      <t>メ</t>
    </rPh>
    <phoneticPr fontId="2"/>
  </si>
  <si>
    <t>5人目</t>
    <rPh sb="0" eb="3">
      <t>フタリメ</t>
    </rPh>
    <phoneticPr fontId="2"/>
  </si>
  <si>
    <t>6人目</t>
    <rPh sb="0" eb="3">
      <t>サンニンメ</t>
    </rPh>
    <phoneticPr fontId="2"/>
  </si>
  <si>
    <t>7人目</t>
    <rPh sb="0" eb="2">
      <t>ヒトリ</t>
    </rPh>
    <rPh sb="2" eb="3">
      <t>メ</t>
    </rPh>
    <phoneticPr fontId="2"/>
  </si>
  <si>
    <t>はい→</t>
    <phoneticPr fontId="2"/>
  </si>
  <si>
    <t>いいえ→</t>
    <phoneticPr fontId="2"/>
  </si>
  <si>
    <t>給与所得早見表</t>
    <rPh sb="0" eb="4">
      <t>キュウヨショトク</t>
    </rPh>
    <rPh sb="4" eb="6">
      <t>ハヤミ</t>
    </rPh>
    <rPh sb="6" eb="7">
      <t>ヒョウ</t>
    </rPh>
    <phoneticPr fontId="2"/>
  </si>
  <si>
    <t>５５万以下</t>
    <rPh sb="2" eb="3">
      <t>マン</t>
    </rPh>
    <rPh sb="3" eb="5">
      <t>イカ</t>
    </rPh>
    <phoneticPr fontId="2"/>
  </si>
  <si>
    <t>５５万引き</t>
    <rPh sb="2" eb="3">
      <t>マン</t>
    </rPh>
    <rPh sb="3" eb="4">
      <t>ヒ</t>
    </rPh>
    <phoneticPr fontId="2"/>
  </si>
  <si>
    <t>固定所得</t>
    <rPh sb="0" eb="4">
      <t>コテイショトク</t>
    </rPh>
    <phoneticPr fontId="2"/>
  </si>
  <si>
    <t>端数整理なし</t>
    <rPh sb="0" eb="4">
      <t>ハスウセイリ</t>
    </rPh>
    <phoneticPr fontId="2"/>
  </si>
  <si>
    <t>収入</t>
    <rPh sb="0" eb="2">
      <t>シュウニュウ</t>
    </rPh>
    <phoneticPr fontId="2"/>
  </si>
  <si>
    <t>割合</t>
    <rPh sb="0" eb="2">
      <t>ワリアイ</t>
    </rPh>
    <phoneticPr fontId="2"/>
  </si>
  <si>
    <t>控除額</t>
    <rPh sb="0" eb="3">
      <t>コウジョガク</t>
    </rPh>
    <phoneticPr fontId="2"/>
  </si>
  <si>
    <t>～550,999</t>
    <phoneticPr fontId="2"/>
  </si>
  <si>
    <t>551,000～1,618,999</t>
    <phoneticPr fontId="2"/>
  </si>
  <si>
    <t>8,500,000～</t>
    <phoneticPr fontId="2"/>
  </si>
  <si>
    <t>1,619,000～,1619,999</t>
    <phoneticPr fontId="2"/>
  </si>
  <si>
    <t>1,620,000～1,621,999</t>
    <phoneticPr fontId="2"/>
  </si>
  <si>
    <t>1,622,000～1,623,999</t>
    <phoneticPr fontId="2"/>
  </si>
  <si>
    <t>1,624,000～1,627,999</t>
    <phoneticPr fontId="2"/>
  </si>
  <si>
    <t>1,628,000～1,799,999</t>
    <phoneticPr fontId="2"/>
  </si>
  <si>
    <t>1,800,000～3,599,999</t>
    <phoneticPr fontId="2"/>
  </si>
  <si>
    <t>3,600,000～6,599,999</t>
    <phoneticPr fontId="2"/>
  </si>
  <si>
    <t>6,600,000～8,499,999</t>
    <phoneticPr fontId="2"/>
  </si>
  <si>
    <t>所得ゼロ</t>
    <rPh sb="0" eb="2">
      <t>ショトク</t>
    </rPh>
    <phoneticPr fontId="2"/>
  </si>
  <si>
    <t>所得1,069,000</t>
    <rPh sb="0" eb="2">
      <t>ショトク</t>
    </rPh>
    <phoneticPr fontId="2"/>
  </si>
  <si>
    <t>所得1,070,000</t>
    <rPh sb="0" eb="2">
      <t>ショトク</t>
    </rPh>
    <phoneticPr fontId="2"/>
  </si>
  <si>
    <t>所得1,072,000</t>
    <rPh sb="0" eb="2">
      <t>ショトク</t>
    </rPh>
    <phoneticPr fontId="2"/>
  </si>
  <si>
    <t>所得1,074,000</t>
    <rPh sb="0" eb="2">
      <t>ショトク</t>
    </rPh>
    <phoneticPr fontId="2"/>
  </si>
  <si>
    <t>1,950,000(上限）</t>
    <rPh sb="10" eb="12">
      <t>ジョウゲン</t>
    </rPh>
    <phoneticPr fontId="2"/>
  </si>
  <si>
    <t>＋100000</t>
    <phoneticPr fontId="2"/>
  </si>
  <si>
    <t>世帯主</t>
    <rPh sb="0" eb="3">
      <t>セタイヌシ</t>
    </rPh>
    <phoneticPr fontId="2"/>
  </si>
  <si>
    <t>給与所得計算（世帯主）</t>
    <rPh sb="0" eb="2">
      <t>キュウヨ</t>
    </rPh>
    <rPh sb="2" eb="4">
      <t>ショトク</t>
    </rPh>
    <rPh sb="4" eb="6">
      <t>ケイサン</t>
    </rPh>
    <rPh sb="7" eb="10">
      <t>セタイヌシ</t>
    </rPh>
    <phoneticPr fontId="2"/>
  </si>
  <si>
    <t>給与所得計算（2人目）</t>
    <rPh sb="0" eb="2">
      <t>キュウヨ</t>
    </rPh>
    <rPh sb="2" eb="4">
      <t>ショトク</t>
    </rPh>
    <rPh sb="4" eb="6">
      <t>ケイサン</t>
    </rPh>
    <rPh sb="7" eb="10">
      <t>フタリメ</t>
    </rPh>
    <phoneticPr fontId="2"/>
  </si>
  <si>
    <t>給与所得計算（3人目）</t>
    <rPh sb="0" eb="2">
      <t>キュウヨ</t>
    </rPh>
    <rPh sb="2" eb="4">
      <t>ショトク</t>
    </rPh>
    <rPh sb="4" eb="6">
      <t>ケイサン</t>
    </rPh>
    <rPh sb="7" eb="10">
      <t>サンニンメ</t>
    </rPh>
    <phoneticPr fontId="2"/>
  </si>
  <si>
    <t>給与所得計算（4人目）</t>
    <rPh sb="0" eb="2">
      <t>キュウヨ</t>
    </rPh>
    <rPh sb="2" eb="4">
      <t>ショトク</t>
    </rPh>
    <rPh sb="4" eb="6">
      <t>ケイサン</t>
    </rPh>
    <rPh sb="7" eb="10">
      <t>フタリメ</t>
    </rPh>
    <phoneticPr fontId="2"/>
  </si>
  <si>
    <t>給与所得計算（5人目）</t>
    <rPh sb="0" eb="2">
      <t>キュウヨ</t>
    </rPh>
    <rPh sb="2" eb="4">
      <t>ショトク</t>
    </rPh>
    <rPh sb="4" eb="6">
      <t>ケイサン</t>
    </rPh>
    <rPh sb="7" eb="10">
      <t>サンニンメ</t>
    </rPh>
    <phoneticPr fontId="2"/>
  </si>
  <si>
    <t>給与所得計算（6人目）</t>
    <rPh sb="0" eb="2">
      <t>キュウヨ</t>
    </rPh>
    <rPh sb="2" eb="4">
      <t>ショトク</t>
    </rPh>
    <rPh sb="4" eb="6">
      <t>ケイサン</t>
    </rPh>
    <rPh sb="7" eb="10">
      <t>フタリメ</t>
    </rPh>
    <phoneticPr fontId="2"/>
  </si>
  <si>
    <t>給与所得計算（7人目）</t>
    <rPh sb="0" eb="2">
      <t>キュウヨ</t>
    </rPh>
    <rPh sb="2" eb="4">
      <t>ショトク</t>
    </rPh>
    <rPh sb="4" eb="6">
      <t>ケイサン</t>
    </rPh>
    <rPh sb="8" eb="10">
      <t>ニンメ</t>
    </rPh>
    <phoneticPr fontId="2"/>
  </si>
  <si>
    <t>給与</t>
    <rPh sb="0" eb="2">
      <t>キュウヨ</t>
    </rPh>
    <phoneticPr fontId="2"/>
  </si>
  <si>
    <t>年金所得早見表・公的年金等に係る雑所得以外の所得に係る合計所得金額が１０００万以下の場合</t>
    <rPh sb="0" eb="4">
      <t>ネンキンショトク</t>
    </rPh>
    <rPh sb="4" eb="7">
      <t>ハヤミヒョウ</t>
    </rPh>
    <rPh sb="8" eb="10">
      <t>コウテキ</t>
    </rPh>
    <rPh sb="10" eb="13">
      <t>ネンキントウ</t>
    </rPh>
    <rPh sb="14" eb="15">
      <t>カカ</t>
    </rPh>
    <rPh sb="16" eb="19">
      <t>ザツショトク</t>
    </rPh>
    <rPh sb="19" eb="21">
      <t>イガイ</t>
    </rPh>
    <rPh sb="22" eb="24">
      <t>ショトク</t>
    </rPh>
    <rPh sb="25" eb="26">
      <t>カカ</t>
    </rPh>
    <rPh sb="27" eb="31">
      <t>ゴウケイショトク</t>
    </rPh>
    <rPh sb="31" eb="33">
      <t>キンガク</t>
    </rPh>
    <rPh sb="38" eb="39">
      <t>マン</t>
    </rPh>
    <rPh sb="39" eb="41">
      <t>イカ</t>
    </rPh>
    <rPh sb="42" eb="44">
      <t>バアイ</t>
    </rPh>
    <phoneticPr fontId="2"/>
  </si>
  <si>
    <t>公的年金等の収入金額</t>
    <rPh sb="0" eb="5">
      <t>コウテキネンキントウ</t>
    </rPh>
    <rPh sb="6" eb="10">
      <t>シュウニュウキンガク</t>
    </rPh>
    <phoneticPr fontId="2"/>
  </si>
  <si>
    <t>１３０万未満</t>
    <rPh sb="3" eb="4">
      <t>マン</t>
    </rPh>
    <rPh sb="4" eb="6">
      <t>ミマン</t>
    </rPh>
    <phoneticPr fontId="2"/>
  </si>
  <si>
    <t>１３０万以上４１０万未満</t>
    <rPh sb="3" eb="4">
      <t>マン</t>
    </rPh>
    <rPh sb="4" eb="6">
      <t>イジョウ</t>
    </rPh>
    <rPh sb="9" eb="10">
      <t>マン</t>
    </rPh>
    <rPh sb="10" eb="12">
      <t>ミマン</t>
    </rPh>
    <phoneticPr fontId="2"/>
  </si>
  <si>
    <t>４１０万以上７７０万未満</t>
    <rPh sb="3" eb="4">
      <t>マン</t>
    </rPh>
    <rPh sb="4" eb="6">
      <t>イジョウ</t>
    </rPh>
    <rPh sb="9" eb="10">
      <t>マン</t>
    </rPh>
    <rPh sb="10" eb="12">
      <t>ミマン</t>
    </rPh>
    <phoneticPr fontId="2"/>
  </si>
  <si>
    <t>７７０万以上１０００万未満</t>
    <rPh sb="3" eb="6">
      <t>マンイジョウ</t>
    </rPh>
    <rPh sb="10" eb="11">
      <t>マン</t>
    </rPh>
    <rPh sb="11" eb="13">
      <t>ミマン</t>
    </rPh>
    <phoneticPr fontId="2"/>
  </si>
  <si>
    <t>１０００万以上</t>
    <rPh sb="4" eb="5">
      <t>マン</t>
    </rPh>
    <rPh sb="5" eb="7">
      <t>イジョウ</t>
    </rPh>
    <phoneticPr fontId="2"/>
  </si>
  <si>
    <t>３３０万未満</t>
    <rPh sb="3" eb="4">
      <t>マン</t>
    </rPh>
    <rPh sb="4" eb="6">
      <t>ミマン</t>
    </rPh>
    <phoneticPr fontId="2"/>
  </si>
  <si>
    <t>３３０万以上４１０万未満</t>
    <rPh sb="3" eb="6">
      <t>マンイジョウ</t>
    </rPh>
    <rPh sb="9" eb="10">
      <t>マン</t>
    </rPh>
    <rPh sb="10" eb="12">
      <t>ミマン</t>
    </rPh>
    <phoneticPr fontId="2"/>
  </si>
  <si>
    <t>６５歳未満</t>
    <rPh sb="2" eb="3">
      <t>サイ</t>
    </rPh>
    <rPh sb="3" eb="5">
      <t>ミマン</t>
    </rPh>
    <phoneticPr fontId="2"/>
  </si>
  <si>
    <t>６５歳以上</t>
    <rPh sb="2" eb="3">
      <t>サイ</t>
    </rPh>
    <rPh sb="3" eb="5">
      <t>イジョウ</t>
    </rPh>
    <phoneticPr fontId="2"/>
  </si>
  <si>
    <t>年金所得計算（世帯主）</t>
    <rPh sb="0" eb="2">
      <t>ネンキン</t>
    </rPh>
    <rPh sb="2" eb="4">
      <t>ショトク</t>
    </rPh>
    <rPh sb="4" eb="6">
      <t>ケイサン</t>
    </rPh>
    <rPh sb="7" eb="10">
      <t>セタイヌシ</t>
    </rPh>
    <phoneticPr fontId="2"/>
  </si>
  <si>
    <t>年金所得計算（2人目）</t>
    <rPh sb="0" eb="4">
      <t>ネンキンショトク</t>
    </rPh>
    <rPh sb="4" eb="6">
      <t>ケイサン</t>
    </rPh>
    <rPh sb="7" eb="10">
      <t>フタリメ</t>
    </rPh>
    <phoneticPr fontId="2"/>
  </si>
  <si>
    <t>年金所得計算（3人目）</t>
    <rPh sb="0" eb="4">
      <t>ネンキンショトク</t>
    </rPh>
    <rPh sb="4" eb="6">
      <t>ケイサン</t>
    </rPh>
    <rPh sb="8" eb="10">
      <t>ニンメ</t>
    </rPh>
    <phoneticPr fontId="2"/>
  </si>
  <si>
    <t>年金所得計算（4人目）</t>
    <rPh sb="0" eb="4">
      <t>ネンキンショトク</t>
    </rPh>
    <rPh sb="4" eb="6">
      <t>ケイサン</t>
    </rPh>
    <rPh sb="7" eb="10">
      <t>フタリメ</t>
    </rPh>
    <phoneticPr fontId="2"/>
  </si>
  <si>
    <t>年金所得計算（5人目）</t>
    <rPh sb="0" eb="4">
      <t>ネンキンショトク</t>
    </rPh>
    <rPh sb="4" eb="6">
      <t>ケイサン</t>
    </rPh>
    <rPh sb="8" eb="10">
      <t>ニンメ</t>
    </rPh>
    <phoneticPr fontId="2"/>
  </si>
  <si>
    <t>年金所得計算（6人目）</t>
    <rPh sb="0" eb="4">
      <t>ネンキンショトク</t>
    </rPh>
    <rPh sb="4" eb="6">
      <t>ケイサン</t>
    </rPh>
    <rPh sb="7" eb="10">
      <t>フタリメ</t>
    </rPh>
    <phoneticPr fontId="2"/>
  </si>
  <si>
    <t>年金所得計算（7人目）</t>
    <rPh sb="0" eb="4">
      <t>ネンキンショトク</t>
    </rPh>
    <rPh sb="4" eb="6">
      <t>ケイサン</t>
    </rPh>
    <rPh sb="8" eb="10">
      <t>ニンメ</t>
    </rPh>
    <phoneticPr fontId="2"/>
  </si>
  <si>
    <t>年金</t>
    <rPh sb="0" eb="2">
      <t>ネンキン</t>
    </rPh>
    <phoneticPr fontId="2"/>
  </si>
  <si>
    <t>年金所得</t>
    <rPh sb="0" eb="4">
      <t>ネンキンショトク</t>
    </rPh>
    <phoneticPr fontId="2"/>
  </si>
  <si>
    <t>軽減判定用年金所得</t>
    <rPh sb="0" eb="5">
      <t>ケイゲンハンテイヨウ</t>
    </rPh>
    <rPh sb="5" eb="9">
      <t>ネンキンショトク</t>
    </rPh>
    <phoneticPr fontId="2"/>
  </si>
  <si>
    <t>合計人数</t>
    <rPh sb="0" eb="4">
      <t>ゴウケイニンズウ</t>
    </rPh>
    <phoneticPr fontId="2"/>
  </si>
  <si>
    <t>軽減判定人数（擬主除く）</t>
    <rPh sb="0" eb="4">
      <t>ケイゲンハンテイ</t>
    </rPh>
    <rPh sb="4" eb="6">
      <t>ニンズウ</t>
    </rPh>
    <rPh sb="7" eb="8">
      <t>ギ</t>
    </rPh>
    <rPh sb="8" eb="9">
      <t>ヌシ</t>
    </rPh>
    <rPh sb="9" eb="10">
      <t>ノゾ</t>
    </rPh>
    <phoneticPr fontId="2"/>
  </si>
  <si>
    <t>軽減判定用</t>
    <rPh sb="0" eb="4">
      <t>ケイゲンハンテイ</t>
    </rPh>
    <rPh sb="4" eb="5">
      <t>ヨウ</t>
    </rPh>
    <phoneticPr fontId="2"/>
  </si>
  <si>
    <t>７割軽減</t>
    <rPh sb="1" eb="4">
      <t>ワリケイゲン</t>
    </rPh>
    <phoneticPr fontId="2"/>
  </si>
  <si>
    <t>５割軽減</t>
    <rPh sb="1" eb="4">
      <t>ワリケイゲン</t>
    </rPh>
    <phoneticPr fontId="2"/>
  </si>
  <si>
    <t>２割軽減</t>
    <rPh sb="1" eb="4">
      <t>ワリケイゲン</t>
    </rPh>
    <phoneticPr fontId="2"/>
  </si>
  <si>
    <t>軽減判定所得</t>
    <rPh sb="0" eb="4">
      <t>ケイゲンハンテイ</t>
    </rPh>
    <rPh sb="4" eb="6">
      <t>ショトク</t>
    </rPh>
    <phoneticPr fontId="2"/>
  </si>
  <si>
    <t>税情報合計所得</t>
    <rPh sb="0" eb="1">
      <t>ゼイ</t>
    </rPh>
    <rPh sb="1" eb="3">
      <t>ジョウホウ</t>
    </rPh>
    <rPh sb="3" eb="7">
      <t>ゴウケイショトク</t>
    </rPh>
    <phoneticPr fontId="2"/>
  </si>
  <si>
    <t>給与所得者等</t>
    <rPh sb="0" eb="5">
      <t>キュウヨショトクシャ</t>
    </rPh>
    <rPh sb="5" eb="6">
      <t>トウ</t>
    </rPh>
    <phoneticPr fontId="2"/>
  </si>
  <si>
    <t>軽減判定用合計所得</t>
    <rPh sb="0" eb="5">
      <t>ケイゲンハンテイヨウ</t>
    </rPh>
    <rPh sb="5" eb="7">
      <t>ゴウケイ</t>
    </rPh>
    <rPh sb="7" eb="9">
      <t>ショトク</t>
    </rPh>
    <phoneticPr fontId="2"/>
  </si>
  <si>
    <t>割軽減</t>
    <rPh sb="0" eb="3">
      <t>ワリケイゲン</t>
    </rPh>
    <phoneticPr fontId="2"/>
  </si>
  <si>
    <t>【所得】年金所得者</t>
    <rPh sb="1" eb="3">
      <t>ショトク</t>
    </rPh>
    <rPh sb="4" eb="9">
      <t>ネンキンショトクシャ</t>
    </rPh>
    <phoneticPr fontId="2"/>
  </si>
  <si>
    <t>【軽減】年金所得者</t>
    <rPh sb="1" eb="3">
      <t>ケイゲン</t>
    </rPh>
    <rPh sb="4" eb="9">
      <t>ネンキンショトクシャ</t>
    </rPh>
    <phoneticPr fontId="2"/>
  </si>
  <si>
    <t>【所得】給与＋年金・人数</t>
    <rPh sb="1" eb="3">
      <t>ショトク</t>
    </rPh>
    <rPh sb="4" eb="6">
      <t>キュウヨ</t>
    </rPh>
    <rPh sb="7" eb="9">
      <t>ネンキン</t>
    </rPh>
    <rPh sb="10" eb="12">
      <t>ニンズウ</t>
    </rPh>
    <phoneticPr fontId="2"/>
  </si>
  <si>
    <t>【軽減】給与＋年金・人数</t>
    <rPh sb="1" eb="3">
      <t>ケイゲン</t>
    </rPh>
    <rPh sb="4" eb="6">
      <t>キュウヨ</t>
    </rPh>
    <rPh sb="7" eb="9">
      <t>ネンキン</t>
    </rPh>
    <rPh sb="10" eb="12">
      <t>ニンズウ</t>
    </rPh>
    <phoneticPr fontId="2"/>
  </si>
  <si>
    <t>満年齢</t>
    <rPh sb="0" eb="1">
      <t>マン</t>
    </rPh>
    <rPh sb="1" eb="3">
      <t>ネンレイ</t>
    </rPh>
    <phoneticPr fontId="2"/>
  </si>
  <si>
    <t>単位：円</t>
    <rPh sb="0" eb="2">
      <t>タンイ</t>
    </rPh>
    <rPh sb="3" eb="4">
      <t>エン</t>
    </rPh>
    <phoneticPr fontId="2"/>
  </si>
  <si>
    <t>【入力方法】</t>
    <rPh sb="1" eb="5">
      <t>ニュウリョクホウホウ</t>
    </rPh>
    <phoneticPr fontId="2"/>
  </si>
  <si>
    <t>【計算結果】</t>
    <rPh sb="1" eb="5">
      <t>ケイサンケッカ</t>
    </rPh>
    <phoneticPr fontId="2"/>
  </si>
  <si>
    <t>国保料年額</t>
    <rPh sb="0" eb="3">
      <t>コクホリョウ</t>
    </rPh>
    <rPh sb="3" eb="5">
      <t>ネンガク</t>
    </rPh>
    <phoneticPr fontId="2"/>
  </si>
  <si>
    <t>医療分</t>
    <rPh sb="0" eb="3">
      <t>イリョウブン</t>
    </rPh>
    <phoneticPr fontId="2"/>
  </si>
  <si>
    <t>支援分</t>
    <rPh sb="0" eb="3">
      <t>シエンブン</t>
    </rPh>
    <phoneticPr fontId="2"/>
  </si>
  <si>
    <t>介護分</t>
    <rPh sb="0" eb="3">
      <t>カイゴブン</t>
    </rPh>
    <phoneticPr fontId="2"/>
  </si>
  <si>
    <t>法定軽減</t>
    <rPh sb="0" eb="4">
      <t>ホウテイケイゲン</t>
    </rPh>
    <phoneticPr fontId="2"/>
  </si>
  <si>
    <t>割軽減適用</t>
    <rPh sb="0" eb="3">
      <t>ワリケイゲン</t>
    </rPh>
    <rPh sb="3" eb="5">
      <t>テキヨウ</t>
    </rPh>
    <phoneticPr fontId="2"/>
  </si>
  <si>
    <t>入力例</t>
    <rPh sb="0" eb="2">
      <t>ニュウリョク</t>
    </rPh>
    <rPh sb="2" eb="3">
      <t>レイ</t>
    </rPh>
    <phoneticPr fontId="2"/>
  </si>
  <si>
    <t>世帯主が国保加入する場合</t>
    <rPh sb="0" eb="3">
      <t>セタイヌシ</t>
    </rPh>
    <rPh sb="4" eb="6">
      <t>コクホ</t>
    </rPh>
    <rPh sb="6" eb="8">
      <t>カニュウ</t>
    </rPh>
    <rPh sb="10" eb="12">
      <t>バアイ</t>
    </rPh>
    <phoneticPr fontId="2"/>
  </si>
  <si>
    <t>※０割の場合、軽減なし</t>
    <rPh sb="2" eb="3">
      <t>ワリ</t>
    </rPh>
    <rPh sb="4" eb="6">
      <t>バアイ</t>
    </rPh>
    <rPh sb="7" eb="9">
      <t>ケイゲン</t>
    </rPh>
    <phoneticPr fontId="2"/>
  </si>
  <si>
    <t>給与所得</t>
    <rPh sb="0" eb="4">
      <t>キュウヨショトク</t>
    </rPh>
    <phoneticPr fontId="2"/>
  </si>
  <si>
    <t>①/4000
②小数以下切捨
③*4000</t>
    <phoneticPr fontId="2"/>
  </si>
  <si>
    <t>【入力する収入金額について】</t>
    <rPh sb="1" eb="3">
      <t>ニュウリョク</t>
    </rPh>
    <rPh sb="5" eb="7">
      <t>シュウニュウ</t>
    </rPh>
    <rPh sb="7" eb="9">
      <t>キンガク</t>
    </rPh>
    <phoneticPr fontId="2"/>
  </si>
  <si>
    <t>・</t>
    <phoneticPr fontId="2"/>
  </si>
  <si>
    <t>　・</t>
    <phoneticPr fontId="2"/>
  </si>
  <si>
    <t>給与所得の源泉徴収票</t>
    <rPh sb="0" eb="2">
      <t>キュウヨ</t>
    </rPh>
    <rPh sb="2" eb="4">
      <t>ショトク</t>
    </rPh>
    <rPh sb="5" eb="10">
      <t>ゲンセンチョウシュウヒョウ</t>
    </rPh>
    <phoneticPr fontId="2"/>
  </si>
  <si>
    <t>【所得】給与所得者</t>
    <rPh sb="1" eb="3">
      <t>ショトク</t>
    </rPh>
    <rPh sb="4" eb="9">
      <t>キュウヨショトクシャ</t>
    </rPh>
    <phoneticPr fontId="2"/>
  </si>
  <si>
    <t>税情報給与所得</t>
    <rPh sb="0" eb="1">
      <t>ゼイ</t>
    </rPh>
    <rPh sb="1" eb="3">
      <t>ジョウホウ</t>
    </rPh>
    <rPh sb="3" eb="5">
      <t>キュウヨ</t>
    </rPh>
    <rPh sb="5" eb="7">
      <t>ショトク</t>
    </rPh>
    <phoneticPr fontId="2"/>
  </si>
  <si>
    <t>１ケ月あたり</t>
    <rPh sb="2" eb="3">
      <t>ツキ</t>
    </rPh>
    <phoneticPr fontId="2"/>
  </si>
  <si>
    <t>①：世帯主が国保に加入する場合は「はい」に1を、加入しない場合は「いいえ」に1を入力。</t>
    <rPh sb="2" eb="5">
      <t>セタイヌシ</t>
    </rPh>
    <rPh sb="6" eb="8">
      <t>コクホ</t>
    </rPh>
    <rPh sb="9" eb="11">
      <t>カニュウ</t>
    </rPh>
    <rPh sb="13" eb="15">
      <t>バアイ</t>
    </rPh>
    <rPh sb="24" eb="26">
      <t>カニュウ</t>
    </rPh>
    <rPh sb="29" eb="31">
      <t>バアイ</t>
    </rPh>
    <rPh sb="40" eb="42">
      <t>ニュウリョク</t>
    </rPh>
    <phoneticPr fontId="2"/>
  </si>
  <si>
    <t>⑤：給与・年金以外のその他の所得がある場合、その他の所得合計額を入力。なければ「0」を入力。</t>
    <rPh sb="2" eb="4">
      <t>キュウヨ</t>
    </rPh>
    <rPh sb="5" eb="7">
      <t>ネンキン</t>
    </rPh>
    <rPh sb="7" eb="9">
      <t>イガイ</t>
    </rPh>
    <rPh sb="12" eb="13">
      <t>ホカ</t>
    </rPh>
    <rPh sb="14" eb="16">
      <t>ショトク</t>
    </rPh>
    <rPh sb="19" eb="21">
      <t>バアイ</t>
    </rPh>
    <rPh sb="24" eb="25">
      <t>ホカ</t>
    </rPh>
    <rPh sb="26" eb="28">
      <t>ショトク</t>
    </rPh>
    <rPh sb="28" eb="31">
      <t>ゴウケイガク</t>
    </rPh>
    <rPh sb="32" eb="34">
      <t>ニュウリョク</t>
    </rPh>
    <rPh sb="43" eb="45">
      <t>ニュウリョク</t>
    </rPh>
    <phoneticPr fontId="2"/>
  </si>
  <si>
    <t>太枠内を入力してください。世帯主の②～⑤欄は、国保に加入しない場合も必ず入力してください。</t>
    <rPh sb="0" eb="2">
      <t>フトワク</t>
    </rPh>
    <rPh sb="2" eb="3">
      <t>ナイ</t>
    </rPh>
    <rPh sb="4" eb="6">
      <t>ニュウリョク</t>
    </rPh>
    <rPh sb="13" eb="16">
      <t>セタイヌシ</t>
    </rPh>
    <rPh sb="20" eb="21">
      <t>ラン</t>
    </rPh>
    <rPh sb="23" eb="25">
      <t>コクホ</t>
    </rPh>
    <rPh sb="26" eb="28">
      <t>カニュウ</t>
    </rPh>
    <rPh sb="31" eb="33">
      <t>バアイ</t>
    </rPh>
    <rPh sb="34" eb="35">
      <t>カナラ</t>
    </rPh>
    <rPh sb="36" eb="38">
      <t>ニュウリョク</t>
    </rPh>
    <phoneticPr fontId="2"/>
  </si>
  <si>
    <t>②：世帯主とそれ以外の国保加入者の満年齢を入力。0歳の場合のみ、「1」を入力。</t>
    <rPh sb="2" eb="5">
      <t>セタイヌシ</t>
    </rPh>
    <rPh sb="8" eb="10">
      <t>イガイ</t>
    </rPh>
    <rPh sb="11" eb="16">
      <t>コクホカニュウシャ</t>
    </rPh>
    <rPh sb="17" eb="18">
      <t>マン</t>
    </rPh>
    <rPh sb="18" eb="20">
      <t>ネンレイ</t>
    </rPh>
    <rPh sb="21" eb="23">
      <t>ニュウリョク</t>
    </rPh>
    <rPh sb="25" eb="26">
      <t>サイ</t>
    </rPh>
    <rPh sb="27" eb="29">
      <t>バアイ</t>
    </rPh>
    <rPh sb="36" eb="38">
      <t>ニュウリョク</t>
    </rPh>
    <phoneticPr fontId="2"/>
  </si>
  <si>
    <t>できます。試算前にサイトに記載の注意点を必ずお読みください。</t>
    <rPh sb="5" eb="7">
      <t>シサン</t>
    </rPh>
    <rPh sb="7" eb="8">
      <t>マエ</t>
    </rPh>
    <rPh sb="13" eb="15">
      <t>キサイ</t>
    </rPh>
    <rPh sb="16" eb="19">
      <t>チュウイテン</t>
    </rPh>
    <rPh sb="20" eb="21">
      <t>カナラ</t>
    </rPh>
    <rPh sb="23" eb="24">
      <t>ヨ</t>
    </rPh>
    <phoneticPr fontId="2"/>
  </si>
  <si>
    <r>
      <t>　   年齢欄で加入者人数を判定しているので、</t>
    </r>
    <r>
      <rPr>
        <u/>
        <sz val="11"/>
        <rFont val="HG丸ｺﾞｼｯｸM-PRO"/>
        <family val="3"/>
        <charset val="128"/>
      </rPr>
      <t>世帯主</t>
    </r>
    <r>
      <rPr>
        <sz val="11"/>
        <rFont val="HG丸ｺﾞｼｯｸM-PRO"/>
        <family val="3"/>
        <charset val="128"/>
      </rPr>
      <t>と</t>
    </r>
    <r>
      <rPr>
        <u/>
        <sz val="11"/>
        <rFont val="HG丸ｺﾞｼｯｸM-PRO"/>
        <family val="3"/>
        <charset val="128"/>
      </rPr>
      <t>加入者のみ</t>
    </r>
    <r>
      <rPr>
        <sz val="11"/>
        <rFont val="HG丸ｺﾞｼｯｸM-PRO"/>
        <family val="3"/>
        <charset val="128"/>
      </rPr>
      <t>の年齢を必ず入力してください。</t>
    </r>
    <rPh sb="4" eb="6">
      <t>ネンレイ</t>
    </rPh>
    <rPh sb="6" eb="7">
      <t>ラン</t>
    </rPh>
    <rPh sb="8" eb="11">
      <t>カニュウシャ</t>
    </rPh>
    <rPh sb="11" eb="13">
      <t>ニンズウ</t>
    </rPh>
    <rPh sb="14" eb="16">
      <t>ハンテイ</t>
    </rPh>
    <rPh sb="23" eb="26">
      <t>セタイヌシ</t>
    </rPh>
    <rPh sb="27" eb="30">
      <t>カニュウシャ</t>
    </rPh>
    <rPh sb="33" eb="35">
      <t>ネンレイ</t>
    </rPh>
    <rPh sb="36" eb="37">
      <t>カナラ</t>
    </rPh>
    <rPh sb="38" eb="40">
      <t>ニュウリョク</t>
    </rPh>
    <phoneticPr fontId="2"/>
  </si>
  <si>
    <t>①世帯主は国保加入者ですか？該当欄に「１」を入力してください。</t>
    <rPh sb="1" eb="4">
      <t>セタイヌシ</t>
    </rPh>
    <rPh sb="5" eb="7">
      <t>コクホ</t>
    </rPh>
    <rPh sb="7" eb="9">
      <t>カニュウ</t>
    </rPh>
    <rPh sb="9" eb="10">
      <t>シャ</t>
    </rPh>
    <rPh sb="14" eb="17">
      <t>ガイトウラン</t>
    </rPh>
    <rPh sb="22" eb="24">
      <t>ニュウリョク</t>
    </rPh>
    <phoneticPr fontId="2"/>
  </si>
  <si>
    <t>軽減なし</t>
    <rPh sb="0" eb="2">
      <t>ケイゲン</t>
    </rPh>
    <phoneticPr fontId="2"/>
  </si>
  <si>
    <t>未就学児</t>
    <rPh sb="0" eb="4">
      <t>ミシュウガクジ</t>
    </rPh>
    <phoneticPr fontId="2"/>
  </si>
  <si>
    <t>未就学児</t>
  </si>
  <si>
    <t>↓未就学児の場合「１」を入力</t>
    <rPh sb="1" eb="5">
      <t>ミシュウガクジ</t>
    </rPh>
    <rPh sb="6" eb="8">
      <t>バアイ</t>
    </rPh>
    <rPh sb="12" eb="14">
      <t>ニュウリョク</t>
    </rPh>
    <phoneticPr fontId="2"/>
  </si>
  <si>
    <t>５割軽減　…　所得４３万円＋（２９万円×被保険者数）＋１０万円×（給与所得者等の数－１）以下の世帯</t>
    <rPh sb="1" eb="2">
      <t>ワリ</t>
    </rPh>
    <rPh sb="2" eb="4">
      <t>ケイゲン</t>
    </rPh>
    <rPh sb="7" eb="9">
      <t>ショトク</t>
    </rPh>
    <rPh sb="11" eb="13">
      <t>マンエン</t>
    </rPh>
    <rPh sb="17" eb="19">
      <t>マンエン</t>
    </rPh>
    <rPh sb="20" eb="24">
      <t>ヒホケンシャ</t>
    </rPh>
    <rPh sb="24" eb="25">
      <t>スウ</t>
    </rPh>
    <rPh sb="44" eb="46">
      <t>イカ</t>
    </rPh>
    <rPh sb="47" eb="49">
      <t>セタイ</t>
    </rPh>
    <phoneticPr fontId="2"/>
  </si>
  <si>
    <t>２割軽減　…　所得４３万円＋（５３.５万円×被保険者数）＋１０万円×（給与所得者等の数－１）以下の世帯</t>
    <rPh sb="1" eb="2">
      <t>ワリ</t>
    </rPh>
    <rPh sb="2" eb="4">
      <t>ケイゲン</t>
    </rPh>
    <rPh sb="7" eb="9">
      <t>ショトク</t>
    </rPh>
    <rPh sb="11" eb="13">
      <t>マンエン</t>
    </rPh>
    <rPh sb="19" eb="21">
      <t>マンエン</t>
    </rPh>
    <rPh sb="22" eb="26">
      <t>ヒホケンシャ</t>
    </rPh>
    <rPh sb="26" eb="27">
      <t>スウ</t>
    </rPh>
    <rPh sb="31" eb="33">
      <t>マンエン</t>
    </rPh>
    <rPh sb="46" eb="48">
      <t>イカ</t>
    </rPh>
    <rPh sb="49" eb="51">
      <t>セタイ</t>
    </rPh>
    <phoneticPr fontId="2"/>
  </si>
  <si>
    <t>５割軽減　…所得が43万円＋2９万円×被保険者数＋10万円×（給与所得者等の数－１）以下の世帯</t>
    <rPh sb="1" eb="2">
      <t>ワリ</t>
    </rPh>
    <rPh sb="2" eb="4">
      <t>ケイゲン</t>
    </rPh>
    <phoneticPr fontId="2"/>
  </si>
  <si>
    <t>２割軽減　…所得が43万円＋5３．５万円×被保険者数＋10万円×（給与所得者等の数－１）以下の世帯</t>
    <rPh sb="1" eb="2">
      <t>ワリ</t>
    </rPh>
    <rPh sb="2" eb="4">
      <t>ケイゲン</t>
    </rPh>
    <phoneticPr fontId="2"/>
  </si>
  <si>
    <t>※③、④及び⑤の詳細については、次ページを参照してください。</t>
    <rPh sb="4" eb="5">
      <t>オヨ</t>
    </rPh>
    <rPh sb="8" eb="10">
      <t>ショウサイ</t>
    </rPh>
    <phoneticPr fontId="2"/>
  </si>
  <si>
    <t>公的年金等の源泉徴収票</t>
    <rPh sb="4" eb="5">
      <t>ナド</t>
    </rPh>
    <phoneticPr fontId="2"/>
  </si>
  <si>
    <t>確定申告書の写し（第一表）</t>
    <rPh sb="0" eb="2">
      <t>カクテイ</t>
    </rPh>
    <rPh sb="2" eb="4">
      <t>シンコク</t>
    </rPh>
    <rPh sb="4" eb="5">
      <t>ショ</t>
    </rPh>
    <rPh sb="6" eb="7">
      <t>ウツ</t>
    </rPh>
    <rPh sb="9" eb="10">
      <t>ダイ</t>
    </rPh>
    <rPh sb="10" eb="11">
      <t>イチ</t>
    </rPh>
    <rPh sb="11" eb="12">
      <t>ヒョウ</t>
    </rPh>
    <phoneticPr fontId="2"/>
  </si>
  <si>
    <t>令和6年中の給与収入</t>
    <rPh sb="0" eb="2">
      <t>レイワ</t>
    </rPh>
    <rPh sb="3" eb="5">
      <t>ネンチュウ</t>
    </rPh>
    <rPh sb="6" eb="10">
      <t>キュウヨシュウニュウ</t>
    </rPh>
    <phoneticPr fontId="2"/>
  </si>
  <si>
    <t>令和6年中の年金収入</t>
    <rPh sb="0" eb="2">
      <t>レイワ</t>
    </rPh>
    <rPh sb="3" eb="5">
      <t>ネンチュウ</t>
    </rPh>
    <rPh sb="6" eb="8">
      <t>ネンキン</t>
    </rPh>
    <rPh sb="8" eb="10">
      <t>シュウニュウ</t>
    </rPh>
    <phoneticPr fontId="2"/>
  </si>
  <si>
    <t>令和6年中の
その他の所得合計額</t>
    <rPh sb="0" eb="2">
      <t>レイワ</t>
    </rPh>
    <rPh sb="3" eb="5">
      <t>ネンチュウ</t>
    </rPh>
    <rPh sb="9" eb="10">
      <t>ホカ</t>
    </rPh>
    <rPh sb="11" eb="13">
      <t>ショトク</t>
    </rPh>
    <rPh sb="13" eb="16">
      <t>ゴウケイガク</t>
    </rPh>
    <phoneticPr fontId="2"/>
  </si>
  <si>
    <t>令和7年度　城陽市国民健康保険料　計算シミュレーション</t>
    <rPh sb="0" eb="2">
      <t>レイワ</t>
    </rPh>
    <rPh sb="3" eb="5">
      <t>ネンド</t>
    </rPh>
    <rPh sb="6" eb="9">
      <t>ジョウヨウシ</t>
    </rPh>
    <rPh sb="9" eb="16">
      <t>コクミンケンコウホケンリョウ</t>
    </rPh>
    <rPh sb="17" eb="19">
      <t>ケイサン</t>
    </rPh>
    <phoneticPr fontId="2"/>
  </si>
  <si>
    <t>③・④：令和6年1月から12月までの1年間の総収入額を入力。該当収入がない場合は「0」を入力。</t>
    <rPh sb="4" eb="6">
      <t>レイワ</t>
    </rPh>
    <rPh sb="7" eb="8">
      <t>ネン</t>
    </rPh>
    <rPh sb="9" eb="10">
      <t>ガツ</t>
    </rPh>
    <rPh sb="14" eb="15">
      <t>ガツ</t>
    </rPh>
    <rPh sb="19" eb="21">
      <t>ネンカン</t>
    </rPh>
    <rPh sb="22" eb="26">
      <t>ソウシュウニュウガク</t>
    </rPh>
    <rPh sb="27" eb="29">
      <t>ニュウリョク</t>
    </rPh>
    <rPh sb="30" eb="32">
      <t>ガイトウ</t>
    </rPh>
    <rPh sb="32" eb="34">
      <t>シュウニュウ</t>
    </rPh>
    <rPh sb="37" eb="39">
      <t>バアイ</t>
    </rPh>
    <rPh sb="44" eb="46">
      <t>ニュウリョク</t>
    </rPh>
    <phoneticPr fontId="2"/>
  </si>
  <si>
    <t>　令和7年度城陽市国民健康保険料（令和7年4月から令和8年3月までの12か月分）を試算することが</t>
    <rPh sb="37" eb="39">
      <t>ゲツブン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</si>
</sst>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人&quot;"/>
    <numFmt numFmtId="177" formatCode="#,##0_ "/>
    <numFmt numFmtId="178" formatCode="\(&quot;限&quot;&quot;度&quot;&quot;額&quot;0,000&quot;円&quot;\)"/>
    <numFmt numFmtId="179" formatCode="0&quot;割&quot;&quot;軽&quot;&quot;減&quot;"/>
    <numFmt numFmtId="180" formatCode="0;0;"/>
    <numFmt numFmtId="181" formatCode="0000000"/>
    <numFmt numFmtId="182" formatCode="#,##0.00000000;[Red]\-#,##0.00000000"/>
    <numFmt numFmtId="183" formatCode="0.00_ "/>
  </numFmts>
  <fonts count="140">
    <font>
      <sz val="11"/>
      <name val="ＭＳ Ｐゴシック"/>
      <family val="3"/>
      <charset val="128"/>
    </font>
    <font>
      <sz val="11"/>
      <name val="ＭＳ Ｐゴシック"/>
      <family val="3"/>
      <charset val="128"/>
    </font>
    <font>
      <sz val="6"/>
      <name val="ＭＳ Ｐゴシック"/>
      <family val="3"/>
      <charset val="128"/>
    </font>
    <font>
      <sz val="13"/>
      <name val="ＭＳ 明朝"/>
      <family val="1"/>
      <charset val="128"/>
    </font>
    <font>
      <sz val="9"/>
      <name val="ＭＳ 明朝"/>
      <family val="1"/>
      <charset val="128"/>
    </font>
    <font>
      <sz val="16"/>
      <name val="ＭＳ 明朝"/>
      <family val="1"/>
      <charset val="128"/>
    </font>
    <font>
      <sz val="22"/>
      <name val="ＭＳ 明朝"/>
      <family val="1"/>
      <charset val="128"/>
    </font>
    <font>
      <i/>
      <sz val="13"/>
      <color indexed="12"/>
      <name val="ＭＳ 明朝"/>
      <family val="1"/>
      <charset val="128"/>
    </font>
    <font>
      <sz val="13"/>
      <color indexed="53"/>
      <name val="ＭＳ 明朝"/>
      <family val="1"/>
      <charset val="128"/>
    </font>
    <font>
      <sz val="12"/>
      <name val="ＭＳ 明朝"/>
      <family val="1"/>
      <charset val="128"/>
    </font>
    <font>
      <sz val="14"/>
      <name val="ＭＳ 明朝"/>
      <family val="1"/>
      <charset val="128"/>
    </font>
    <font>
      <i/>
      <sz val="13"/>
      <name val="ＭＳ 明朝"/>
      <family val="1"/>
      <charset val="128"/>
    </font>
    <font>
      <sz val="18"/>
      <name val="ＭＳ 明朝"/>
      <family val="1"/>
      <charset val="128"/>
    </font>
    <font>
      <sz val="10"/>
      <name val="ＭＳ 明朝"/>
      <family val="1"/>
      <charset val="128"/>
    </font>
    <font>
      <sz val="24"/>
      <name val="ＭＳ 明朝"/>
      <family val="1"/>
      <charset val="128"/>
    </font>
    <font>
      <sz val="13"/>
      <color indexed="53"/>
      <name val="ＭＳ ゴシック"/>
      <family val="3"/>
      <charset val="128"/>
    </font>
    <font>
      <sz val="14"/>
      <color indexed="53"/>
      <name val="ＭＳ ゴシック"/>
      <family val="3"/>
      <charset val="128"/>
    </font>
    <font>
      <sz val="20"/>
      <color indexed="53"/>
      <name val="ＭＳ ゴシック"/>
      <family val="3"/>
      <charset val="128"/>
    </font>
    <font>
      <sz val="13"/>
      <color indexed="10"/>
      <name val="ＭＳ 明朝"/>
      <family val="1"/>
      <charset val="128"/>
    </font>
    <font>
      <sz val="16"/>
      <color indexed="53"/>
      <name val="ＭＳ ゴシック"/>
      <family val="3"/>
      <charset val="128"/>
    </font>
    <font>
      <sz val="12"/>
      <color indexed="14"/>
      <name val="ＭＳ 明朝"/>
      <family val="1"/>
      <charset val="128"/>
    </font>
    <font>
      <sz val="10"/>
      <color indexed="10"/>
      <name val="ＭＳ ゴシック"/>
      <family val="3"/>
      <charset val="128"/>
    </font>
    <font>
      <sz val="12"/>
      <color indexed="17"/>
      <name val="ＭＳ 明朝"/>
      <family val="1"/>
      <charset val="128"/>
    </font>
    <font>
      <sz val="20"/>
      <color indexed="10"/>
      <name val="ＭＳ 明朝"/>
      <family val="1"/>
      <charset val="128"/>
    </font>
    <font>
      <i/>
      <sz val="13"/>
      <color indexed="10"/>
      <name val="ＭＳ 明朝"/>
      <family val="1"/>
      <charset val="128"/>
    </font>
    <font>
      <sz val="13"/>
      <name val="ＭＳ ゴシック"/>
      <family val="3"/>
      <charset val="128"/>
    </font>
    <font>
      <sz val="12"/>
      <name val="ＭＳ ゴシック"/>
      <family val="3"/>
      <charset val="128"/>
    </font>
    <font>
      <sz val="11"/>
      <name val="ＭＳ 明朝"/>
      <family val="1"/>
      <charset val="128"/>
    </font>
    <font>
      <sz val="14"/>
      <color indexed="12"/>
      <name val="ＭＳ 明朝"/>
      <family val="1"/>
      <charset val="128"/>
    </font>
    <font>
      <sz val="13"/>
      <color indexed="12"/>
      <name val="ＭＳ 明朝"/>
      <family val="1"/>
      <charset val="128"/>
    </font>
    <font>
      <sz val="18"/>
      <color indexed="12"/>
      <name val="ＭＳ 明朝"/>
      <family val="1"/>
      <charset val="128"/>
    </font>
    <font>
      <sz val="20"/>
      <color indexed="12"/>
      <name val="ＭＳ 明朝"/>
      <family val="1"/>
      <charset val="128"/>
    </font>
    <font>
      <sz val="18"/>
      <color indexed="53"/>
      <name val="ＭＳ ゴシック"/>
      <family val="3"/>
      <charset val="128"/>
    </font>
    <font>
      <sz val="11"/>
      <color indexed="53"/>
      <name val="ＭＳ ゴシック"/>
      <family val="3"/>
      <charset val="128"/>
    </font>
    <font>
      <sz val="10"/>
      <color indexed="53"/>
      <name val="ＭＳ ゴシック"/>
      <family val="3"/>
      <charset val="128"/>
    </font>
    <font>
      <b/>
      <sz val="24"/>
      <color indexed="20"/>
      <name val="ＭＳ 明朝"/>
      <family val="1"/>
      <charset val="128"/>
    </font>
    <font>
      <sz val="10"/>
      <color indexed="10"/>
      <name val="ＭＳ 明朝"/>
      <family val="1"/>
      <charset val="128"/>
    </font>
    <font>
      <sz val="14"/>
      <color indexed="10"/>
      <name val="ＭＳ 明朝"/>
      <family val="1"/>
      <charset val="128"/>
    </font>
    <font>
      <sz val="11"/>
      <color indexed="10"/>
      <name val="ＭＳ ゴシック"/>
      <family val="3"/>
      <charset val="128"/>
    </font>
    <font>
      <sz val="12"/>
      <color indexed="10"/>
      <name val="ＭＳ 明朝"/>
      <family val="1"/>
      <charset val="128"/>
    </font>
    <font>
      <b/>
      <sz val="16"/>
      <color indexed="12"/>
      <name val="ＭＳ 明朝"/>
      <family val="1"/>
      <charset val="128"/>
    </font>
    <font>
      <sz val="22"/>
      <color indexed="53"/>
      <name val="ＭＳ ゴシック"/>
      <family val="3"/>
      <charset val="128"/>
    </font>
    <font>
      <sz val="22"/>
      <color indexed="10"/>
      <name val="ＭＳ 明朝"/>
      <family val="1"/>
      <charset val="128"/>
    </font>
    <font>
      <sz val="80"/>
      <color indexed="10"/>
      <name val="ＭＳ 明朝"/>
      <family val="1"/>
      <charset val="128"/>
    </font>
    <font>
      <sz val="16"/>
      <name val="ＭＳ Ｐゴシック"/>
      <family val="3"/>
      <charset val="128"/>
    </font>
    <font>
      <b/>
      <sz val="28"/>
      <color indexed="53"/>
      <name val="ＭＳ 明朝"/>
      <family val="1"/>
      <charset val="128"/>
    </font>
    <font>
      <b/>
      <sz val="22"/>
      <color indexed="12"/>
      <name val="ＭＳ 明朝"/>
      <family val="1"/>
      <charset val="128"/>
    </font>
    <font>
      <b/>
      <sz val="30"/>
      <color indexed="12"/>
      <name val="ＭＳ ゴシック"/>
      <family val="3"/>
      <charset val="128"/>
    </font>
    <font>
      <b/>
      <sz val="36"/>
      <color indexed="10"/>
      <name val="ＭＳ 明朝"/>
      <family val="1"/>
      <charset val="128"/>
    </font>
    <font>
      <sz val="12"/>
      <color indexed="53"/>
      <name val="ＭＳ ゴシック"/>
      <family val="3"/>
      <charset val="128"/>
    </font>
    <font>
      <b/>
      <sz val="18"/>
      <color indexed="10"/>
      <name val="ＭＳ ゴシック"/>
      <family val="3"/>
      <charset val="128"/>
    </font>
    <font>
      <sz val="18"/>
      <color indexed="56"/>
      <name val="ＭＳ 明朝"/>
      <family val="1"/>
      <charset val="128"/>
    </font>
    <font>
      <sz val="16"/>
      <color indexed="18"/>
      <name val="ＭＳ 明朝"/>
      <family val="1"/>
      <charset val="128"/>
    </font>
    <font>
      <sz val="18"/>
      <color indexed="10"/>
      <name val="HGｺﾞｼｯｸM"/>
      <family val="3"/>
      <charset val="128"/>
    </font>
    <font>
      <sz val="9"/>
      <color indexed="10"/>
      <name val="ＭＳ Ｐゴシック"/>
      <family val="3"/>
      <charset val="128"/>
    </font>
    <font>
      <b/>
      <sz val="30"/>
      <color indexed="18"/>
      <name val="ＭＳ ゴシック"/>
      <family val="3"/>
      <charset val="128"/>
    </font>
    <font>
      <sz val="30"/>
      <color indexed="12"/>
      <name val="ＭＳ ゴシック"/>
      <family val="3"/>
      <charset val="128"/>
    </font>
    <font>
      <b/>
      <sz val="26"/>
      <color indexed="53"/>
      <name val="ＭＳ ゴシック"/>
      <family val="3"/>
      <charset val="128"/>
    </font>
    <font>
      <sz val="13"/>
      <color indexed="56"/>
      <name val="ＭＳ 明朝"/>
      <family val="1"/>
      <charset val="128"/>
    </font>
    <font>
      <sz val="10"/>
      <name val="ＭＳ ゴシック"/>
      <family val="3"/>
      <charset val="128"/>
    </font>
    <font>
      <b/>
      <sz val="13"/>
      <name val="ＭＳ ゴシック"/>
      <family val="3"/>
      <charset val="128"/>
    </font>
    <font>
      <sz val="16"/>
      <color indexed="53"/>
      <name val="ＭＳ 明朝"/>
      <family val="1"/>
      <charset val="128"/>
    </font>
    <font>
      <b/>
      <sz val="24"/>
      <color indexed="10"/>
      <name val="TT-JTC古印体"/>
      <family val="3"/>
      <charset val="128"/>
    </font>
    <font>
      <b/>
      <sz val="14"/>
      <color indexed="10"/>
      <name val="ＭＳ ゴシック"/>
      <family val="3"/>
      <charset val="128"/>
    </font>
    <font>
      <sz val="18"/>
      <color indexed="10"/>
      <name val="ＭＳ Ｐゴシック"/>
      <family val="3"/>
      <charset val="128"/>
    </font>
    <font>
      <b/>
      <sz val="22"/>
      <color indexed="58"/>
      <name val="ＭＳ 明朝"/>
      <family val="1"/>
      <charset val="128"/>
    </font>
    <font>
      <b/>
      <sz val="24"/>
      <color indexed="58"/>
      <name val="ＭＳ 明朝"/>
      <family val="1"/>
      <charset val="128"/>
    </font>
    <font>
      <sz val="18"/>
      <color indexed="10"/>
      <name val="ＭＳ 明朝"/>
      <family val="1"/>
      <charset val="128"/>
    </font>
    <font>
      <sz val="18"/>
      <name val="ＭＳ Ｐゴシック"/>
      <family val="3"/>
      <charset val="128"/>
    </font>
    <font>
      <i/>
      <sz val="18"/>
      <color indexed="12"/>
      <name val="ＭＳ 明朝"/>
      <family val="1"/>
      <charset val="128"/>
    </font>
    <font>
      <sz val="16"/>
      <color indexed="10"/>
      <name val="ＭＳ 明朝"/>
      <family val="1"/>
      <charset val="128"/>
    </font>
    <font>
      <sz val="36"/>
      <color indexed="10"/>
      <name val="HGP創英角ｺﾞｼｯｸUB"/>
      <family val="3"/>
      <charset val="128"/>
    </font>
    <font>
      <sz val="13"/>
      <color indexed="57"/>
      <name val="ＭＳ 明朝"/>
      <family val="1"/>
      <charset val="128"/>
    </font>
    <font>
      <sz val="12"/>
      <color indexed="23"/>
      <name val="ＭＳ 明朝"/>
      <family val="1"/>
      <charset val="128"/>
    </font>
    <font>
      <sz val="11"/>
      <color indexed="53"/>
      <name val="ＭＳ Ｐゴシック"/>
      <family val="3"/>
      <charset val="128"/>
    </font>
    <font>
      <sz val="16"/>
      <color indexed="53"/>
      <name val="ＭＳ Ｐゴシック"/>
      <family val="3"/>
      <charset val="128"/>
    </font>
    <font>
      <sz val="12"/>
      <color indexed="53"/>
      <name val="ＭＳ 明朝"/>
      <family val="1"/>
      <charset val="128"/>
    </font>
    <font>
      <sz val="9"/>
      <color indexed="53"/>
      <name val="ＭＳ 明朝"/>
      <family val="1"/>
      <charset val="128"/>
    </font>
    <font>
      <sz val="14"/>
      <color indexed="53"/>
      <name val="ＭＳ 明朝"/>
      <family val="1"/>
      <charset val="128"/>
    </font>
    <font>
      <sz val="6"/>
      <name val="ＭＳ 明朝"/>
      <family val="1"/>
      <charset val="128"/>
    </font>
    <font>
      <sz val="11"/>
      <color indexed="53"/>
      <name val="ＭＳ 明朝"/>
      <family val="1"/>
      <charset val="128"/>
    </font>
    <font>
      <sz val="11"/>
      <name val="ＭＳ Ｐゴシック"/>
      <family val="3"/>
      <charset val="128"/>
    </font>
    <font>
      <sz val="24"/>
      <color indexed="10"/>
      <name val="ＭＳ 明朝"/>
      <family val="1"/>
      <charset val="128"/>
    </font>
    <font>
      <sz val="12"/>
      <name val="ＭＳ Ｐゴシック"/>
      <family val="3"/>
      <charset val="128"/>
    </font>
    <font>
      <b/>
      <sz val="18"/>
      <name val="ＭＳ 明朝"/>
      <family val="1"/>
      <charset val="128"/>
    </font>
    <font>
      <sz val="14"/>
      <name val="ＭＳ Ｐゴシック"/>
      <family val="3"/>
      <charset val="128"/>
    </font>
    <font>
      <sz val="14"/>
      <name val="ＭＳ ゴシック"/>
      <family val="3"/>
      <charset val="128"/>
    </font>
    <font>
      <b/>
      <sz val="20"/>
      <color indexed="53"/>
      <name val="ＭＳ Ｐゴシック"/>
      <family val="3"/>
      <charset val="128"/>
    </font>
    <font>
      <sz val="12"/>
      <color indexed="53"/>
      <name val="ＭＳ Ｐゴシック"/>
      <family val="3"/>
      <charset val="128"/>
    </font>
    <font>
      <sz val="14"/>
      <color indexed="53"/>
      <name val="ＭＳ Ｐゴシック"/>
      <family val="3"/>
      <charset val="128"/>
    </font>
    <font>
      <b/>
      <sz val="18"/>
      <color indexed="53"/>
      <name val="ＭＳ Ｐゴシック"/>
      <family val="3"/>
      <charset val="128"/>
    </font>
    <font>
      <sz val="13"/>
      <color indexed="10"/>
      <name val="ＭＳ ゴシック"/>
      <family val="3"/>
      <charset val="128"/>
    </font>
    <font>
      <sz val="8"/>
      <name val="ＭＳ Ｐゴシック"/>
      <family val="3"/>
      <charset val="128"/>
    </font>
    <font>
      <sz val="9"/>
      <name val="ＭＳ Ｐゴシック"/>
      <family val="3"/>
      <charset val="128"/>
    </font>
    <font>
      <sz val="10"/>
      <name val="ＭＳ Ｐゴシック"/>
      <family val="3"/>
      <charset val="128"/>
    </font>
    <font>
      <b/>
      <sz val="16"/>
      <name val="ＭＳ Ｐゴシック"/>
      <family val="3"/>
      <charset val="128"/>
    </font>
    <font>
      <b/>
      <sz val="11"/>
      <name val="ＭＳ Ｐゴシック"/>
      <family val="3"/>
      <charset val="128"/>
    </font>
    <font>
      <b/>
      <sz val="14"/>
      <name val="ＭＳ ゴシック"/>
      <family val="3"/>
      <charset val="128"/>
    </font>
    <font>
      <b/>
      <sz val="18"/>
      <name val="ＭＳ ゴシック"/>
      <family val="3"/>
      <charset val="128"/>
    </font>
    <font>
      <b/>
      <sz val="16"/>
      <color indexed="81"/>
      <name val="MS P ゴシック"/>
      <family val="3"/>
      <charset val="128"/>
    </font>
    <font>
      <b/>
      <sz val="18"/>
      <color indexed="81"/>
      <name val="MS P ゴシック"/>
      <family val="3"/>
      <charset val="128"/>
    </font>
    <font>
      <b/>
      <sz val="12"/>
      <name val="ＭＳ Ｐゴシック"/>
      <family val="3"/>
      <charset val="128"/>
    </font>
    <font>
      <sz val="20"/>
      <name val="ＭＳ Ｐゴシック"/>
      <family val="3"/>
      <charset val="128"/>
    </font>
    <font>
      <b/>
      <sz val="14"/>
      <name val="ＭＳ Ｐゴシック"/>
      <family val="3"/>
      <charset val="128"/>
    </font>
    <font>
      <b/>
      <sz val="13"/>
      <name val="ＭＳ Ｐゴシック"/>
      <family val="3"/>
      <charset val="128"/>
    </font>
    <font>
      <b/>
      <sz val="17"/>
      <name val="ＭＳ Ｐゴシック"/>
      <family val="3"/>
      <charset val="128"/>
    </font>
    <font>
      <b/>
      <sz val="10"/>
      <name val="ＭＳ Ｐゴシック"/>
      <family val="3"/>
      <charset val="128"/>
    </font>
    <font>
      <sz val="12"/>
      <color indexed="56"/>
      <name val="ＭＳ 明朝"/>
      <family val="1"/>
      <charset val="128"/>
    </font>
    <font>
      <b/>
      <sz val="24"/>
      <color indexed="10"/>
      <name val="ＭＳ Ｐゴシック"/>
      <family val="3"/>
      <charset val="128"/>
    </font>
    <font>
      <sz val="6"/>
      <name val="ＭＳ Ｐゴシック"/>
      <family val="3"/>
      <charset val="128"/>
    </font>
    <font>
      <sz val="6"/>
      <name val="游ゴシック"/>
      <family val="3"/>
      <charset val="128"/>
    </font>
    <font>
      <sz val="12"/>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14"/>
      <name val="HG丸ｺﾞｼｯｸM-PRO"/>
      <family val="3"/>
      <charset val="128"/>
    </font>
    <font>
      <sz val="16"/>
      <name val="HG丸ｺﾞｼｯｸM-PRO"/>
      <family val="3"/>
      <charset val="128"/>
    </font>
    <font>
      <sz val="18"/>
      <name val="HG丸ｺﾞｼｯｸM-PRO"/>
      <family val="3"/>
      <charset val="128"/>
    </font>
    <font>
      <b/>
      <sz val="18"/>
      <name val="HG丸ｺﾞｼｯｸM-PRO"/>
      <family val="3"/>
      <charset val="128"/>
    </font>
    <font>
      <u/>
      <sz val="11"/>
      <name val="HG丸ｺﾞｼｯｸM-PRO"/>
      <family val="3"/>
      <charset val="128"/>
    </font>
    <font>
      <sz val="10.5"/>
      <name val="HG丸ｺﾞｼｯｸM-PRO"/>
      <family val="3"/>
      <charset val="128"/>
    </font>
    <font>
      <b/>
      <sz val="9"/>
      <color indexed="81"/>
      <name val="MS P ゴシック"/>
      <family val="3"/>
      <charset val="128"/>
    </font>
    <font>
      <sz val="26"/>
      <name val="HGP創英角ｺﾞｼｯｸUB"/>
      <family val="3"/>
      <charset val="128"/>
    </font>
    <font>
      <b/>
      <sz val="14"/>
      <color theme="1"/>
      <name val="ＭＳ ゴシック"/>
      <family val="3"/>
      <charset val="128"/>
    </font>
    <font>
      <sz val="10"/>
      <color theme="6" tint="-0.499984740745262"/>
      <name val="ＭＳ 明朝"/>
      <family val="1"/>
      <charset val="128"/>
    </font>
    <font>
      <b/>
      <sz val="18"/>
      <color rgb="FF0070C0"/>
      <name val="ＭＳ ゴシック"/>
      <family val="3"/>
      <charset val="128"/>
    </font>
    <font>
      <sz val="11"/>
      <color rgb="FF000000"/>
      <name val="HG丸ｺﾞｼｯｸM-PRO"/>
      <family val="3"/>
      <charset val="128"/>
    </font>
    <font>
      <sz val="12"/>
      <color rgb="FF000000"/>
      <name val="HG丸ｺﾞｼｯｸM-PRO"/>
      <family val="3"/>
      <charset val="128"/>
    </font>
    <font>
      <b/>
      <sz val="12"/>
      <color rgb="FF000000"/>
      <name val="HG丸ｺﾞｼｯｸM-PRO"/>
      <family val="3"/>
      <charset val="128"/>
    </font>
    <font>
      <sz val="11"/>
      <color rgb="FF003366"/>
      <name val="HG丸ｺﾞｼｯｸM-PRO"/>
      <family val="3"/>
      <charset val="128"/>
    </font>
    <font>
      <sz val="12"/>
      <color rgb="FFFF0000"/>
      <name val="HG丸ｺﾞｼｯｸM-PRO"/>
      <family val="3"/>
      <charset val="128"/>
    </font>
    <font>
      <b/>
      <sz val="20"/>
      <color rgb="FFFF0000"/>
      <name val="ＭＳ 明朝"/>
      <family val="1"/>
      <charset val="128"/>
    </font>
    <font>
      <b/>
      <sz val="14"/>
      <color rgb="FF0070C0"/>
      <name val="ＭＳ ゴシック"/>
      <family val="3"/>
      <charset val="128"/>
    </font>
    <font>
      <sz val="13"/>
      <color rgb="FFFF0000"/>
      <name val="ＭＳ 明朝"/>
      <family val="1"/>
      <charset val="128"/>
    </font>
    <font>
      <sz val="13"/>
      <color theme="9" tint="-0.249977111117893"/>
      <name val="ＭＳ 明朝"/>
      <family val="1"/>
      <charset val="128"/>
    </font>
    <font>
      <i/>
      <sz val="18"/>
      <color theme="9" tint="-0.249977111117893"/>
      <name val="ＭＳ 明朝"/>
      <family val="1"/>
      <charset val="128"/>
    </font>
    <font>
      <sz val="18"/>
      <color theme="9" tint="-0.249977111117893"/>
      <name val="ＭＳ Ｐゴシック"/>
      <family val="3"/>
      <charset val="128"/>
    </font>
    <font>
      <sz val="18"/>
      <color theme="9" tint="-0.249977111117893"/>
      <name val="ＭＳ 明朝"/>
      <family val="1"/>
      <charset val="128"/>
    </font>
    <font>
      <sz val="11"/>
      <color theme="9" tint="-0.249977111117893"/>
      <name val="ＭＳ Ｐゴシック"/>
      <family val="3"/>
      <charset val="128"/>
    </font>
    <font>
      <sz val="12"/>
      <color rgb="FFFF0000"/>
      <name val="ＭＳ 明朝"/>
      <family val="1"/>
      <charset val="128"/>
    </font>
  </fonts>
  <fills count="18">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15"/>
        <bgColor indexed="64"/>
      </patternFill>
    </fill>
    <fill>
      <patternFill patternType="solid">
        <fgColor theme="9" tint="0.59999389629810485"/>
        <bgColor indexed="64"/>
      </patternFill>
    </fill>
    <fill>
      <patternFill patternType="solid">
        <fgColor rgb="FF92D050"/>
        <bgColor rgb="FF000000"/>
      </patternFill>
    </fill>
    <fill>
      <patternFill patternType="solid">
        <fgColor rgb="FFFFFF66"/>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rgb="FFAE80EC"/>
        <bgColor indexed="64"/>
      </patternFill>
    </fill>
    <fill>
      <patternFill patternType="solid">
        <fgColor theme="8" tint="0.39997558519241921"/>
        <bgColor indexed="64"/>
      </patternFill>
    </fill>
    <fill>
      <patternFill patternType="solid">
        <fgColor theme="5" tint="0.39997558519241921"/>
        <bgColor indexed="64"/>
      </patternFill>
    </fill>
  </fills>
  <borders count="321">
    <border>
      <left/>
      <right/>
      <top/>
      <bottom/>
      <diagonal/>
    </border>
    <border>
      <left/>
      <right/>
      <top style="mediumDashed">
        <color indexed="10"/>
      </top>
      <bottom/>
      <diagonal/>
    </border>
    <border>
      <left/>
      <right style="mediumDashed">
        <color indexed="10"/>
      </right>
      <top style="mediumDashed">
        <color indexed="10"/>
      </top>
      <bottom/>
      <diagonal/>
    </border>
    <border>
      <left/>
      <right style="mediumDashed">
        <color indexed="10"/>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thin">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diagonalDown="1">
      <left style="thin">
        <color indexed="10"/>
      </left>
      <right style="thin">
        <color indexed="10"/>
      </right>
      <top style="thin">
        <color indexed="10"/>
      </top>
      <bottom style="thin">
        <color indexed="10"/>
      </bottom>
      <diagonal style="thin">
        <color indexed="10"/>
      </diagonal>
    </border>
    <border>
      <left style="thin">
        <color indexed="10"/>
      </left>
      <right style="thin">
        <color indexed="10"/>
      </right>
      <top style="thin">
        <color indexed="10"/>
      </top>
      <bottom style="thin">
        <color indexed="10"/>
      </bottom>
      <diagonal/>
    </border>
    <border>
      <left style="thin">
        <color indexed="64"/>
      </left>
      <right/>
      <top style="thin">
        <color indexed="64"/>
      </top>
      <bottom/>
      <diagonal/>
    </border>
    <border>
      <left/>
      <right/>
      <top style="thin">
        <color indexed="64"/>
      </top>
      <bottom/>
      <diagonal/>
    </border>
    <border diagonalDown="1">
      <left style="thin">
        <color indexed="10"/>
      </left>
      <right style="thin">
        <color indexed="10"/>
      </right>
      <top style="thin">
        <color indexed="10"/>
      </top>
      <bottom style="thin">
        <color indexed="10"/>
      </bottom>
      <diagonal style="thin">
        <color indexed="64"/>
      </diagonal>
    </border>
    <border>
      <left style="mediumDashed">
        <color indexed="10"/>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right style="double">
        <color indexed="64"/>
      </right>
      <top style="double">
        <color indexed="64"/>
      </top>
      <bottom style="double">
        <color indexed="64"/>
      </bottom>
      <diagonal/>
    </border>
    <border>
      <left style="mediumDashed">
        <color indexed="10"/>
      </left>
      <right/>
      <top/>
      <bottom style="mediumDashed">
        <color indexed="10"/>
      </bottom>
      <diagonal/>
    </border>
    <border>
      <left/>
      <right/>
      <top/>
      <bottom style="mediumDashed">
        <color indexed="10"/>
      </bottom>
      <diagonal/>
    </border>
    <border>
      <left/>
      <right style="mediumDashed">
        <color indexed="10"/>
      </right>
      <top/>
      <bottom style="mediumDashed">
        <color indexed="10"/>
      </bottom>
      <diagonal/>
    </border>
    <border>
      <left/>
      <right/>
      <top style="dotted">
        <color indexed="64"/>
      </top>
      <bottom style="thin">
        <color indexed="64"/>
      </bottom>
      <diagonal/>
    </border>
    <border>
      <left style="dotted">
        <color indexed="64"/>
      </left>
      <right/>
      <top style="dotted">
        <color indexed="64"/>
      </top>
      <bottom/>
      <diagonal/>
    </border>
    <border>
      <left/>
      <right/>
      <top style="thin">
        <color indexed="64"/>
      </top>
      <bottom style="dotted">
        <color indexed="64"/>
      </bottom>
      <diagonal/>
    </border>
    <border>
      <left/>
      <right style="thin">
        <color indexed="64"/>
      </right>
      <top style="thin">
        <color indexed="64"/>
      </top>
      <bottom/>
      <diagonal/>
    </border>
    <border>
      <left/>
      <right style="thin">
        <color indexed="64"/>
      </right>
      <top style="dotted">
        <color indexed="64"/>
      </top>
      <bottom/>
      <diagonal/>
    </border>
    <border>
      <left style="mediumDashed">
        <color indexed="10"/>
      </left>
      <right/>
      <top style="mediumDashed">
        <color indexed="10"/>
      </top>
      <bottom/>
      <diagonal/>
    </border>
    <border>
      <left style="thin">
        <color indexed="64"/>
      </left>
      <right/>
      <top/>
      <bottom/>
      <diagonal/>
    </border>
    <border>
      <left/>
      <right style="dotted">
        <color indexed="64"/>
      </right>
      <top/>
      <bottom/>
      <diagonal/>
    </border>
    <border>
      <left/>
      <right/>
      <top style="thin">
        <color indexed="10"/>
      </top>
      <bottom/>
      <diagonal/>
    </border>
    <border>
      <left/>
      <right/>
      <top/>
      <bottom style="thin">
        <color indexed="10"/>
      </bottom>
      <diagonal/>
    </border>
    <border>
      <left/>
      <right style="double">
        <color indexed="10"/>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uble">
        <color indexed="64"/>
      </top>
      <bottom style="double">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right style="dotted">
        <color indexed="64"/>
      </right>
      <top style="dotted">
        <color indexed="64"/>
      </top>
      <bottom/>
      <diagonal/>
    </border>
    <border>
      <left/>
      <right style="thin">
        <color indexed="64"/>
      </right>
      <top style="dotted">
        <color indexed="64"/>
      </top>
      <bottom style="thin">
        <color indexed="64"/>
      </bottom>
      <diagonal/>
    </border>
    <border>
      <left style="double">
        <color indexed="10"/>
      </left>
      <right/>
      <top style="double">
        <color indexed="10"/>
      </top>
      <bottom/>
      <diagonal/>
    </border>
    <border>
      <left/>
      <right/>
      <top style="double">
        <color indexed="10"/>
      </top>
      <bottom/>
      <diagonal/>
    </border>
    <border>
      <left/>
      <right style="double">
        <color indexed="10"/>
      </right>
      <top style="double">
        <color indexed="10"/>
      </top>
      <bottom/>
      <diagonal/>
    </border>
    <border>
      <left style="double">
        <color indexed="10"/>
      </left>
      <right/>
      <top/>
      <bottom style="dotted">
        <color indexed="64"/>
      </bottom>
      <diagonal/>
    </border>
    <border>
      <left style="double">
        <color indexed="10"/>
      </left>
      <right/>
      <top style="dotted">
        <color indexed="64"/>
      </top>
      <bottom style="dotted">
        <color indexed="64"/>
      </bottom>
      <diagonal/>
    </border>
    <border>
      <left style="double">
        <color indexed="10"/>
      </left>
      <right/>
      <top/>
      <bottom/>
      <diagonal/>
    </border>
    <border>
      <left style="double">
        <color indexed="10"/>
      </left>
      <right/>
      <top/>
      <bottom style="double">
        <color indexed="10"/>
      </bottom>
      <diagonal/>
    </border>
    <border>
      <left/>
      <right/>
      <top/>
      <bottom style="double">
        <color indexed="10"/>
      </bottom>
      <diagonal/>
    </border>
    <border>
      <left/>
      <right style="double">
        <color indexed="10"/>
      </right>
      <top/>
      <bottom style="double">
        <color indexed="10"/>
      </bottom>
      <diagonal/>
    </border>
    <border>
      <left/>
      <right style="double">
        <color indexed="10"/>
      </right>
      <top style="dotted">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10"/>
      </bottom>
      <diagonal/>
    </border>
    <border>
      <left style="thin">
        <color indexed="10"/>
      </left>
      <right style="thin">
        <color indexed="10"/>
      </right>
      <top style="thin">
        <color indexed="10"/>
      </top>
      <bottom/>
      <diagonal/>
    </border>
    <border>
      <left style="thin">
        <color indexed="10"/>
      </left>
      <right style="thin">
        <color indexed="10"/>
      </right>
      <top/>
      <bottom style="thin">
        <color indexed="10"/>
      </bottom>
      <diagonal/>
    </border>
    <border>
      <left/>
      <right style="thin">
        <color indexed="10"/>
      </right>
      <top style="thin">
        <color indexed="10"/>
      </top>
      <bottom/>
      <diagonal/>
    </border>
    <border>
      <left/>
      <right style="thin">
        <color indexed="10"/>
      </right>
      <top/>
      <bottom style="thin">
        <color indexed="10"/>
      </bottom>
      <diagonal/>
    </border>
    <border>
      <left/>
      <right style="thin">
        <color indexed="10"/>
      </right>
      <top style="dotted">
        <color indexed="10"/>
      </top>
      <bottom style="thin">
        <color indexed="10"/>
      </bottom>
      <diagonal/>
    </border>
    <border>
      <left style="mediumDashed">
        <color indexed="10"/>
      </left>
      <right/>
      <top style="thin">
        <color indexed="10"/>
      </top>
      <bottom style="dotted">
        <color indexed="10"/>
      </bottom>
      <diagonal/>
    </border>
    <border>
      <left style="mediumDashed">
        <color indexed="10"/>
      </left>
      <right/>
      <top style="dotted">
        <color indexed="10"/>
      </top>
      <bottom style="dotted">
        <color indexed="10"/>
      </bottom>
      <diagonal/>
    </border>
    <border>
      <left style="mediumDashed">
        <color indexed="10"/>
      </left>
      <right/>
      <top style="dotted">
        <color indexed="10"/>
      </top>
      <bottom style="thin">
        <color indexed="10"/>
      </bottom>
      <diagonal/>
    </border>
    <border>
      <left/>
      <right style="thin">
        <color indexed="10"/>
      </right>
      <top style="dotted">
        <color indexed="10"/>
      </top>
      <bottom style="dotted">
        <color indexed="10"/>
      </bottom>
      <diagonal/>
    </border>
    <border>
      <left/>
      <right style="thin">
        <color indexed="10"/>
      </right>
      <top style="thin">
        <color indexed="10"/>
      </top>
      <bottom style="dotted">
        <color indexed="10"/>
      </bottom>
      <diagonal/>
    </border>
    <border>
      <left style="double">
        <color indexed="64"/>
      </left>
      <right/>
      <top/>
      <bottom style="double">
        <color indexed="64"/>
      </bottom>
      <diagonal/>
    </border>
    <border>
      <left/>
      <right/>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dashDot">
        <color indexed="64"/>
      </top>
      <bottom/>
      <diagonal/>
    </border>
    <border>
      <left/>
      <right/>
      <top/>
      <bottom style="dashDot">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thick">
        <color indexed="64"/>
      </right>
      <top style="thick">
        <color indexed="64"/>
      </top>
      <bottom style="hair">
        <color indexed="64"/>
      </bottom>
      <diagonal/>
    </border>
    <border>
      <left style="thick">
        <color indexed="64"/>
      </left>
      <right style="thick">
        <color indexed="64"/>
      </right>
      <top style="hair">
        <color indexed="64"/>
      </top>
      <bottom style="thick">
        <color indexed="64"/>
      </bottom>
      <diagonal/>
    </border>
    <border>
      <left style="thick">
        <color indexed="64"/>
      </left>
      <right style="hair">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medium">
        <color indexed="64"/>
      </right>
      <top style="thin">
        <color indexed="64"/>
      </top>
      <bottom/>
      <diagonal/>
    </border>
    <border>
      <left style="thin">
        <color indexed="64"/>
      </left>
      <right style="hair">
        <color indexed="64"/>
      </right>
      <top style="thin">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double">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double">
        <color indexed="10"/>
      </right>
      <top style="thin">
        <color indexed="10"/>
      </top>
      <bottom style="thin">
        <color indexed="10"/>
      </bottom>
      <diagonal/>
    </border>
    <border diagonalDown="1">
      <left style="thin">
        <color indexed="10"/>
      </left>
      <right/>
      <top style="thin">
        <color indexed="10"/>
      </top>
      <bottom style="thin">
        <color indexed="10"/>
      </bottom>
      <diagonal style="thin">
        <color indexed="10"/>
      </diagonal>
    </border>
    <border diagonalDown="1">
      <left/>
      <right/>
      <top style="thin">
        <color indexed="10"/>
      </top>
      <bottom style="thin">
        <color indexed="10"/>
      </bottom>
      <diagonal style="thin">
        <color indexed="10"/>
      </diagonal>
    </border>
    <border diagonalDown="1">
      <left/>
      <right style="double">
        <color indexed="10"/>
      </right>
      <top style="thin">
        <color indexed="10"/>
      </top>
      <bottom style="thin">
        <color indexed="10"/>
      </bottom>
      <diagonal style="thin">
        <color indexed="10"/>
      </diagonal>
    </border>
    <border>
      <left style="thin">
        <color indexed="10"/>
      </left>
      <right/>
      <top style="double">
        <color indexed="10"/>
      </top>
      <bottom style="thin">
        <color indexed="10"/>
      </bottom>
      <diagonal/>
    </border>
    <border>
      <left/>
      <right/>
      <top style="double">
        <color indexed="10"/>
      </top>
      <bottom style="thin">
        <color indexed="10"/>
      </bottom>
      <diagonal/>
    </border>
    <border>
      <left/>
      <right style="double">
        <color indexed="10"/>
      </right>
      <top style="double">
        <color indexed="10"/>
      </top>
      <bottom style="thin">
        <color indexed="10"/>
      </bottom>
      <diagonal/>
    </border>
    <border>
      <left style="thin">
        <color indexed="10"/>
      </left>
      <right style="thin">
        <color indexed="10"/>
      </right>
      <top style="thin">
        <color indexed="10"/>
      </top>
      <bottom style="double">
        <color indexed="10"/>
      </bottom>
      <diagonal/>
    </border>
    <border diagonalDown="1">
      <left style="thin">
        <color indexed="10"/>
      </left>
      <right/>
      <top style="thin">
        <color indexed="10"/>
      </top>
      <bottom style="double">
        <color indexed="10"/>
      </bottom>
      <diagonal style="thin">
        <color indexed="10"/>
      </diagonal>
    </border>
    <border diagonalDown="1">
      <left/>
      <right/>
      <top style="thin">
        <color indexed="10"/>
      </top>
      <bottom style="double">
        <color indexed="10"/>
      </bottom>
      <diagonal style="thin">
        <color indexed="10"/>
      </diagonal>
    </border>
    <border diagonalDown="1">
      <left/>
      <right style="double">
        <color indexed="10"/>
      </right>
      <top style="thin">
        <color indexed="10"/>
      </top>
      <bottom style="double">
        <color indexed="10"/>
      </bottom>
      <diagonal style="thin">
        <color indexed="10"/>
      </diagonal>
    </border>
    <border>
      <left style="double">
        <color indexed="64"/>
      </left>
      <right style="dotted">
        <color indexed="64"/>
      </right>
      <top style="thin">
        <color indexed="64"/>
      </top>
      <bottom/>
      <diagonal/>
    </border>
    <border>
      <left style="double">
        <color indexed="64"/>
      </left>
      <right style="dotted">
        <color indexed="64"/>
      </right>
      <top/>
      <bottom/>
      <diagonal/>
    </border>
    <border>
      <left style="double">
        <color indexed="64"/>
      </left>
      <right style="dotted">
        <color indexed="64"/>
      </right>
      <top/>
      <bottom style="double">
        <color indexed="64"/>
      </bottom>
      <diagonal/>
    </border>
    <border>
      <left style="double">
        <color indexed="10"/>
      </left>
      <right style="thin">
        <color indexed="10"/>
      </right>
      <top style="double">
        <color indexed="10"/>
      </top>
      <bottom style="thin">
        <color indexed="10"/>
      </bottom>
      <diagonal/>
    </border>
    <border>
      <left style="thin">
        <color indexed="10"/>
      </left>
      <right style="thin">
        <color indexed="10"/>
      </right>
      <top style="double">
        <color indexed="10"/>
      </top>
      <bottom style="thin">
        <color indexed="10"/>
      </bottom>
      <diagonal/>
    </border>
    <border>
      <left style="dotted">
        <color indexed="64"/>
      </left>
      <right/>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10"/>
      </right>
      <top style="double">
        <color indexed="10"/>
      </top>
      <bottom style="thin">
        <color indexed="10"/>
      </bottom>
      <diagonal/>
    </border>
    <border>
      <left/>
      <right style="thin">
        <color indexed="10"/>
      </right>
      <top style="thin">
        <color indexed="10"/>
      </top>
      <bottom style="thin">
        <color indexed="10"/>
      </bottom>
      <diagonal/>
    </border>
    <border diagonalDown="1">
      <left/>
      <right style="thin">
        <color indexed="10"/>
      </right>
      <top style="thin">
        <color indexed="10"/>
      </top>
      <bottom style="thin">
        <color indexed="10"/>
      </bottom>
      <diagonal style="thin">
        <color indexed="10"/>
      </diagonal>
    </border>
    <border diagonalDown="1">
      <left style="thin">
        <color indexed="10"/>
      </left>
      <right style="thin">
        <color indexed="10"/>
      </right>
      <top style="thin">
        <color indexed="10"/>
      </top>
      <bottom style="double">
        <color indexed="10"/>
      </bottom>
      <diagonal style="thin">
        <color indexed="10"/>
      </diagonal>
    </border>
    <border>
      <left style="double">
        <color indexed="64"/>
      </left>
      <right style="dotted">
        <color indexed="64"/>
      </right>
      <top/>
      <bottom style="thin">
        <color indexed="64"/>
      </bottom>
      <diagonal/>
    </border>
    <border>
      <left style="dotted">
        <color indexed="64"/>
      </left>
      <right/>
      <top/>
      <bottom style="double">
        <color indexed="64"/>
      </bottom>
      <diagonal/>
    </border>
    <border>
      <left/>
      <right style="dotted">
        <color indexed="64"/>
      </right>
      <top/>
      <bottom style="double">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uble">
        <color indexed="17"/>
      </left>
      <right/>
      <top style="thin">
        <color indexed="64"/>
      </top>
      <bottom/>
      <diagonal/>
    </border>
    <border>
      <left style="double">
        <color indexed="17"/>
      </left>
      <right/>
      <top/>
      <bottom/>
      <diagonal/>
    </border>
    <border>
      <left/>
      <right style="hair">
        <color indexed="64"/>
      </right>
      <top/>
      <bottom/>
      <diagonal/>
    </border>
    <border>
      <left/>
      <right/>
      <top style="thin">
        <color indexed="17"/>
      </top>
      <bottom style="double">
        <color indexed="17"/>
      </bottom>
      <diagonal/>
    </border>
    <border>
      <left/>
      <right style="double">
        <color indexed="17"/>
      </right>
      <top style="thin">
        <color indexed="17"/>
      </top>
      <bottom style="double">
        <color indexed="17"/>
      </bottom>
      <diagonal/>
    </border>
    <border>
      <left style="double">
        <color indexed="64"/>
      </left>
      <right/>
      <top style="double">
        <color indexed="64"/>
      </top>
      <bottom style="double">
        <color indexed="64"/>
      </bottom>
      <diagonal/>
    </border>
    <border>
      <left/>
      <right style="hair">
        <color indexed="64"/>
      </right>
      <top style="double">
        <color indexed="64"/>
      </top>
      <bottom style="double">
        <color indexed="64"/>
      </bottom>
      <diagonal/>
    </border>
    <border>
      <left style="double">
        <color indexed="12"/>
      </left>
      <right/>
      <top style="double">
        <color indexed="12"/>
      </top>
      <bottom/>
      <diagonal/>
    </border>
    <border>
      <left/>
      <right/>
      <top style="double">
        <color indexed="12"/>
      </top>
      <bottom/>
      <diagonal/>
    </border>
    <border>
      <left style="double">
        <color indexed="12"/>
      </left>
      <right/>
      <top/>
      <bottom style="double">
        <color indexed="12"/>
      </bottom>
      <diagonal/>
    </border>
    <border>
      <left/>
      <right/>
      <top/>
      <bottom style="double">
        <color indexed="12"/>
      </bottom>
      <diagonal/>
    </border>
    <border>
      <left/>
      <right style="double">
        <color indexed="12"/>
      </right>
      <top style="double">
        <color indexed="12"/>
      </top>
      <bottom/>
      <diagonal/>
    </border>
    <border>
      <left/>
      <right style="double">
        <color indexed="12"/>
      </right>
      <top/>
      <bottom style="double">
        <color indexed="12"/>
      </bottom>
      <diagonal/>
    </border>
    <border>
      <left style="dotted">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style="double">
        <color indexed="64"/>
      </left>
      <right style="dotted">
        <color indexed="64"/>
      </right>
      <top style="double">
        <color indexed="64"/>
      </top>
      <bottom/>
      <diagonal/>
    </border>
    <border>
      <left style="double">
        <color indexed="17"/>
      </left>
      <right/>
      <top style="double">
        <color indexed="17"/>
      </top>
      <bottom/>
      <diagonal/>
    </border>
    <border>
      <left/>
      <right/>
      <top style="double">
        <color indexed="17"/>
      </top>
      <bottom/>
      <diagonal/>
    </border>
    <border>
      <left/>
      <right style="hair">
        <color indexed="64"/>
      </right>
      <top style="double">
        <color indexed="17"/>
      </top>
      <bottom/>
      <diagonal/>
    </border>
    <border>
      <left/>
      <right style="double">
        <color indexed="17"/>
      </right>
      <top style="double">
        <color indexed="17"/>
      </top>
      <bottom/>
      <diagonal/>
    </border>
    <border>
      <left/>
      <right style="double">
        <color indexed="17"/>
      </right>
      <top/>
      <bottom/>
      <diagonal/>
    </border>
    <border>
      <left style="hair">
        <color indexed="64"/>
      </left>
      <right/>
      <top style="double">
        <color indexed="17"/>
      </top>
      <bottom/>
      <diagonal/>
    </border>
    <border>
      <left style="hair">
        <color indexed="64"/>
      </left>
      <right/>
      <top/>
      <bottom/>
      <diagonal/>
    </border>
    <border>
      <left style="double">
        <color indexed="17"/>
      </left>
      <right/>
      <top/>
      <bottom style="double">
        <color indexed="17"/>
      </bottom>
      <diagonal/>
    </border>
    <border>
      <left/>
      <right/>
      <top/>
      <bottom style="double">
        <color indexed="17"/>
      </bottom>
      <diagonal/>
    </border>
    <border>
      <left style="thin">
        <color indexed="17"/>
      </left>
      <right/>
      <top style="thin">
        <color indexed="17"/>
      </top>
      <bottom style="thin">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top style="thin">
        <color indexed="17"/>
      </top>
      <bottom style="double">
        <color indexed="17"/>
      </bottom>
      <diagonal/>
    </border>
    <border>
      <left/>
      <right style="thin">
        <color indexed="17"/>
      </right>
      <top style="thin">
        <color indexed="17"/>
      </top>
      <bottom style="double">
        <color indexed="17"/>
      </bottom>
      <diagonal/>
    </border>
    <border>
      <left/>
      <right style="double">
        <color indexed="17"/>
      </right>
      <top style="thin">
        <color indexed="17"/>
      </top>
      <bottom style="thin">
        <color indexed="17"/>
      </bottom>
      <diagonal/>
    </border>
    <border>
      <left style="double">
        <color indexed="10"/>
      </left>
      <right style="thin">
        <color indexed="10"/>
      </right>
      <top style="thin">
        <color indexed="10"/>
      </top>
      <bottom style="double">
        <color indexed="10"/>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thick">
        <color indexed="64"/>
      </top>
      <bottom style="thin">
        <color indexed="64"/>
      </bottom>
      <diagonal/>
    </border>
    <border>
      <left style="hair">
        <color indexed="64"/>
      </left>
      <right/>
      <top style="hair">
        <color indexed="64"/>
      </top>
      <bottom style="thick">
        <color indexed="64"/>
      </bottom>
      <diagonal/>
    </border>
    <border>
      <left/>
      <right style="hair">
        <color indexed="64"/>
      </right>
      <top style="hair">
        <color indexed="64"/>
      </top>
      <bottom style="thick">
        <color indexed="64"/>
      </bottom>
      <diagonal/>
    </border>
    <border>
      <left style="hair">
        <color indexed="64"/>
      </left>
      <right/>
      <top style="hair">
        <color indexed="64"/>
      </top>
      <bottom style="hair">
        <color indexed="64"/>
      </bottom>
      <diagonal/>
    </border>
    <border>
      <left/>
      <right style="thick">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ck">
        <color indexed="64"/>
      </bottom>
      <diagonal/>
    </border>
    <border>
      <left/>
      <right style="hair">
        <color indexed="64"/>
      </right>
      <top style="thin">
        <color indexed="64"/>
      </top>
      <bottom style="thick">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hair">
        <color indexed="64"/>
      </left>
      <right/>
      <top style="thick">
        <color indexed="64"/>
      </top>
      <bottom style="hair">
        <color indexed="64"/>
      </bottom>
      <diagonal/>
    </border>
    <border>
      <left/>
      <right style="thick">
        <color indexed="64"/>
      </right>
      <top style="thick">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medium">
        <color indexed="64"/>
      </bottom>
      <diagonal/>
    </border>
    <border>
      <left style="hair">
        <color indexed="64"/>
      </left>
      <right style="thin">
        <color indexed="64"/>
      </right>
      <top/>
      <bottom style="hair">
        <color indexed="64"/>
      </bottom>
      <diagonal/>
    </border>
    <border>
      <left style="medium">
        <color indexed="64"/>
      </left>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thick">
        <color indexed="64"/>
      </bottom>
      <diagonal/>
    </border>
    <border>
      <left/>
      <right style="thick">
        <color indexed="64"/>
      </right>
      <top style="hair">
        <color indexed="64"/>
      </top>
      <bottom style="thick">
        <color indexed="64"/>
      </bottom>
      <diagonal/>
    </border>
    <border>
      <left style="double">
        <color indexed="64"/>
      </left>
      <right/>
      <top style="double">
        <color indexed="64"/>
      </top>
      <bottom/>
      <diagonal/>
    </border>
    <border>
      <left style="double">
        <color indexed="64"/>
      </left>
      <right/>
      <top/>
      <bottom/>
      <diagonal/>
    </border>
    <border>
      <left/>
      <right style="double">
        <color indexed="64"/>
      </right>
      <top style="double">
        <color indexed="64"/>
      </top>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dashed">
        <color indexed="64"/>
      </left>
      <right/>
      <top style="double">
        <color indexed="64"/>
      </top>
      <bottom/>
      <diagonal/>
    </border>
    <border>
      <left style="dashed">
        <color indexed="64"/>
      </left>
      <right/>
      <top/>
      <bottom/>
      <diagonal/>
    </border>
    <border>
      <left style="dashed">
        <color indexed="64"/>
      </left>
      <right/>
      <top/>
      <bottom style="double">
        <color indexed="64"/>
      </bottom>
      <diagonal/>
    </border>
    <border>
      <left/>
      <right style="dashed">
        <color indexed="64"/>
      </right>
      <top style="double">
        <color indexed="64"/>
      </top>
      <bottom/>
      <diagonal/>
    </border>
    <border>
      <left/>
      <right style="dashed">
        <color indexed="64"/>
      </right>
      <top/>
      <bottom/>
      <diagonal/>
    </border>
    <border>
      <left style="dotted">
        <color indexed="64"/>
      </left>
      <right/>
      <top style="dotted">
        <color indexed="64"/>
      </top>
      <bottom style="thin">
        <color indexed="64"/>
      </bottom>
      <diagonal/>
    </border>
    <border>
      <left style="double">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tted">
        <color indexed="64"/>
      </right>
      <top style="thin">
        <color indexed="64"/>
      </top>
      <bottom style="double">
        <color indexed="64"/>
      </bottom>
      <diagonal/>
    </border>
    <border>
      <left/>
      <right style="double">
        <color indexed="64"/>
      </right>
      <top style="thin">
        <color indexed="64"/>
      </top>
      <bottom style="thin">
        <color indexed="64"/>
      </bottom>
      <diagonal/>
    </border>
    <border>
      <left style="dotted">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dotted">
        <color indexed="64"/>
      </top>
      <bottom/>
      <diagonal/>
    </border>
    <border>
      <left/>
      <right style="double">
        <color indexed="64"/>
      </right>
      <top style="dotted">
        <color indexed="64"/>
      </top>
      <bottom/>
      <diagonal/>
    </border>
    <border>
      <left style="double">
        <color indexed="64"/>
      </left>
      <right/>
      <top style="dotted">
        <color indexed="64"/>
      </top>
      <bottom/>
      <diagonal/>
    </border>
    <border>
      <left style="double">
        <color indexed="64"/>
      </left>
      <right/>
      <top style="double">
        <color indexed="64"/>
      </top>
      <bottom style="dotted">
        <color indexed="64"/>
      </bottom>
      <diagonal/>
    </border>
    <border>
      <left/>
      <right/>
      <top style="double">
        <color indexed="64"/>
      </top>
      <bottom style="dotted">
        <color indexed="64"/>
      </bottom>
      <diagonal/>
    </border>
    <border>
      <left/>
      <right style="double">
        <color indexed="64"/>
      </right>
      <top style="double">
        <color indexed="64"/>
      </top>
      <bottom style="dotted">
        <color indexed="64"/>
      </bottom>
      <diagonal/>
    </border>
    <border>
      <left style="thin">
        <color indexed="64"/>
      </left>
      <right/>
      <top style="dotted">
        <color indexed="64"/>
      </top>
      <bottom/>
      <diagonal/>
    </border>
    <border>
      <left/>
      <right style="double">
        <color indexed="10"/>
      </right>
      <top style="thin">
        <color indexed="10"/>
      </top>
      <bottom style="double">
        <color indexed="10"/>
      </bottom>
      <diagonal/>
    </border>
    <border>
      <left/>
      <right/>
      <top style="thin">
        <color indexed="10"/>
      </top>
      <bottom style="double">
        <color indexed="10"/>
      </bottom>
      <diagonal/>
    </border>
    <border>
      <left style="double">
        <color indexed="10"/>
      </left>
      <right/>
      <top style="double">
        <color indexed="10"/>
      </top>
      <bottom style="thin">
        <color indexed="10"/>
      </bottom>
      <diagonal/>
    </border>
    <border>
      <left style="double">
        <color indexed="10"/>
      </left>
      <right/>
      <top style="thin">
        <color indexed="10"/>
      </top>
      <bottom/>
      <diagonal/>
    </border>
    <border>
      <left style="double">
        <color indexed="10"/>
      </left>
      <right/>
      <top/>
      <bottom style="thin">
        <color indexed="10"/>
      </bottom>
      <diagonal/>
    </border>
    <border>
      <left/>
      <right style="double">
        <color indexed="10"/>
      </right>
      <top style="thin">
        <color indexed="10"/>
      </top>
      <bottom/>
      <diagonal/>
    </border>
    <border>
      <left/>
      <right style="double">
        <color indexed="10"/>
      </right>
      <top/>
      <bottom style="thin">
        <color indexed="10"/>
      </bottom>
      <diagonal/>
    </border>
    <border>
      <left style="double">
        <color indexed="10"/>
      </left>
      <right/>
      <top style="thin">
        <color indexed="10"/>
      </top>
      <bottom style="thin">
        <color indexed="10"/>
      </bottom>
      <diagonal/>
    </border>
    <border>
      <left style="mediumDashed">
        <color indexed="10"/>
      </left>
      <right/>
      <top style="thick">
        <color indexed="10"/>
      </top>
      <bottom/>
      <diagonal/>
    </border>
    <border>
      <left style="double">
        <color indexed="10"/>
      </left>
      <right/>
      <top style="thin">
        <color indexed="10"/>
      </top>
      <bottom style="double">
        <color indexed="10"/>
      </bottom>
      <diagonal/>
    </border>
    <border>
      <left style="dotted">
        <color indexed="10"/>
      </left>
      <right/>
      <top style="thin">
        <color indexed="64"/>
      </top>
      <bottom/>
      <diagonal/>
    </border>
    <border>
      <left style="dotted">
        <color indexed="10"/>
      </left>
      <right/>
      <top style="thin">
        <color indexed="64"/>
      </top>
      <bottom style="dotted">
        <color indexed="10"/>
      </bottom>
      <diagonal/>
    </border>
    <border>
      <left/>
      <right style="dotted">
        <color indexed="10"/>
      </right>
      <top style="thin">
        <color indexed="64"/>
      </top>
      <bottom style="dotted">
        <color indexed="10"/>
      </bottom>
      <diagonal/>
    </border>
    <border>
      <left/>
      <right style="dotted">
        <color indexed="10"/>
      </right>
      <top style="thin">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style="double">
        <color rgb="FF0070C0"/>
      </right>
      <top style="double">
        <color rgb="FF0070C0"/>
      </top>
      <bottom style="double">
        <color rgb="FF0070C0"/>
      </bottom>
      <diagonal/>
    </border>
    <border>
      <left style="dashed">
        <color rgb="FF0070C0"/>
      </left>
      <right style="double">
        <color rgb="FF0070C0"/>
      </right>
      <top style="double">
        <color rgb="FF0070C0"/>
      </top>
      <bottom style="dashed">
        <color rgb="FF0070C0"/>
      </bottom>
      <diagonal/>
    </border>
    <border>
      <left style="dashed">
        <color rgb="FF0070C0"/>
      </left>
      <right style="double">
        <color rgb="FF0070C0"/>
      </right>
      <top style="dashed">
        <color rgb="FF0070C0"/>
      </top>
      <bottom style="double">
        <color rgb="FF0070C0"/>
      </bottom>
      <diagonal/>
    </border>
    <border>
      <left style="dashed">
        <color rgb="FF0070C0"/>
      </left>
      <right style="dashed">
        <color rgb="FF0070C0"/>
      </right>
      <top style="double">
        <color rgb="FF0070C0"/>
      </top>
      <bottom style="dashed">
        <color rgb="FF0070C0"/>
      </bottom>
      <diagonal/>
    </border>
    <border>
      <left style="dashed">
        <color rgb="FF0070C0"/>
      </left>
      <right style="dashed">
        <color rgb="FF0070C0"/>
      </right>
      <top style="dashed">
        <color rgb="FF0070C0"/>
      </top>
      <bottom style="double">
        <color rgb="FF0070C0"/>
      </bottom>
      <diagonal/>
    </border>
    <border>
      <left style="double">
        <color rgb="FF0070C0"/>
      </left>
      <right/>
      <top style="double">
        <color rgb="FF0070C0"/>
      </top>
      <bottom style="double">
        <color rgb="FF0070C0"/>
      </bottom>
      <diagonal/>
    </border>
    <border>
      <left/>
      <right/>
      <top style="double">
        <color rgb="FF0070C0"/>
      </top>
      <bottom style="double">
        <color rgb="FF0070C0"/>
      </bottom>
      <diagonal/>
    </border>
    <border>
      <left style="double">
        <color rgb="FF0070C0"/>
      </left>
      <right style="dashed">
        <color rgb="FF0070C0"/>
      </right>
      <top style="double">
        <color rgb="FF0070C0"/>
      </top>
      <bottom style="dashed">
        <color rgb="FF0070C0"/>
      </bottom>
      <diagonal/>
    </border>
    <border>
      <left style="double">
        <color rgb="FF0070C0"/>
      </left>
      <right style="dashed">
        <color rgb="FF0070C0"/>
      </right>
      <top style="dashed">
        <color rgb="FF0070C0"/>
      </top>
      <bottom style="double">
        <color rgb="FF0070C0"/>
      </bottom>
      <diagonal/>
    </border>
    <border>
      <left style="double">
        <color indexed="10"/>
      </left>
      <right style="thin">
        <color indexed="10"/>
      </right>
      <top style="thin">
        <color indexed="10"/>
      </top>
      <bottom/>
      <diagonal/>
    </border>
    <border diagonalDown="1">
      <left style="thin">
        <color indexed="10"/>
      </left>
      <right/>
      <top style="thin">
        <color indexed="10"/>
      </top>
      <bottom/>
      <diagonal style="thin">
        <color indexed="10"/>
      </diagonal>
    </border>
    <border diagonalDown="1">
      <left/>
      <right/>
      <top style="thin">
        <color indexed="10"/>
      </top>
      <bottom/>
      <diagonal style="thin">
        <color indexed="10"/>
      </diagonal>
    </border>
    <border diagonalDown="1">
      <left/>
      <right style="thin">
        <color indexed="10"/>
      </right>
      <top style="thin">
        <color indexed="10"/>
      </top>
      <bottom/>
      <diagonal style="thin">
        <color indexed="10"/>
      </diagonal>
    </border>
    <border diagonalDown="1">
      <left/>
      <right style="double">
        <color indexed="10"/>
      </right>
      <top style="thin">
        <color indexed="10"/>
      </top>
      <bottom/>
      <diagonal style="thin">
        <color indexed="10"/>
      </diagonal>
    </border>
    <border>
      <left style="thin">
        <color indexed="10"/>
      </left>
      <right/>
      <top style="thin">
        <color indexed="10"/>
      </top>
      <bottom style="double">
        <color indexed="10"/>
      </bottom>
      <diagonal/>
    </border>
    <border>
      <left/>
      <right style="thin">
        <color indexed="10"/>
      </right>
      <top style="thin">
        <color indexed="10"/>
      </top>
      <bottom style="double">
        <color indexed="10"/>
      </bottom>
      <diagonal/>
    </border>
    <border diagonalDown="1">
      <left style="thin">
        <color indexed="10"/>
      </left>
      <right style="thin">
        <color indexed="10"/>
      </right>
      <top style="thin">
        <color indexed="10"/>
      </top>
      <bottom/>
      <diagonal style="thin">
        <color indexed="10"/>
      </diagonal>
    </border>
    <border>
      <left style="hair">
        <color indexed="64"/>
      </left>
      <right style="dotted">
        <color indexed="64"/>
      </right>
      <top style="double">
        <color indexed="64"/>
      </top>
      <bottom/>
      <diagonal/>
    </border>
    <border>
      <left style="hair">
        <color indexed="64"/>
      </left>
      <right style="dotted">
        <color indexed="64"/>
      </right>
      <top/>
      <bottom/>
      <diagonal/>
    </border>
    <border>
      <left style="hair">
        <color indexed="64"/>
      </left>
      <right style="dotted">
        <color indexed="64"/>
      </right>
      <top/>
      <bottom style="thin">
        <color indexed="64"/>
      </bottom>
      <diagonal/>
    </border>
    <border>
      <left style="hair">
        <color indexed="64"/>
      </left>
      <right style="dotted">
        <color indexed="64"/>
      </right>
      <top style="thin">
        <color indexed="64"/>
      </top>
      <bottom/>
      <diagonal/>
    </border>
    <border>
      <left style="hair">
        <color indexed="64"/>
      </left>
      <right style="dotted">
        <color indexed="64"/>
      </right>
      <top/>
      <bottom style="double">
        <color indexed="64"/>
      </bottom>
      <diagonal/>
    </border>
    <border>
      <left/>
      <right style="hair">
        <color indexed="64"/>
      </right>
      <top style="thick">
        <color indexed="64"/>
      </top>
      <bottom style="hair">
        <color indexed="64"/>
      </bottom>
      <diagonal/>
    </border>
    <border>
      <left style="thick">
        <color indexed="64"/>
      </left>
      <right style="thick">
        <color indexed="64"/>
      </right>
      <top style="thick">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82">
    <xf numFmtId="0" fontId="0" fillId="0" borderId="0" xfId="0">
      <alignment vertical="center"/>
    </xf>
    <xf numFmtId="0" fontId="29" fillId="2" borderId="0" xfId="0" applyFont="1" applyFill="1" applyBorder="1" applyAlignment="1" applyProtection="1">
      <alignment horizontal="center" vertical="center"/>
      <protection locked="0"/>
    </xf>
    <xf numFmtId="38" fontId="3" fillId="0" borderId="0" xfId="1" applyFont="1" applyFill="1" applyProtection="1">
      <alignment vertical="center"/>
    </xf>
    <xf numFmtId="0" fontId="3" fillId="0" borderId="0" xfId="0" applyFont="1" applyFill="1" applyProtection="1">
      <alignment vertical="center"/>
    </xf>
    <xf numFmtId="38" fontId="3" fillId="0" borderId="0" xfId="1" applyFont="1" applyFill="1" applyBorder="1" applyProtection="1">
      <alignment vertical="center"/>
    </xf>
    <xf numFmtId="0" fontId="5" fillId="0" borderId="0" xfId="0" applyFont="1" applyFill="1" applyAlignment="1" applyProtection="1">
      <alignment horizontal="center" vertical="center"/>
    </xf>
    <xf numFmtId="0" fontId="3" fillId="0" borderId="1" xfId="0" applyFont="1" applyFill="1" applyBorder="1" applyProtection="1">
      <alignment vertical="center"/>
    </xf>
    <xf numFmtId="38" fontId="3" fillId="0" borderId="1" xfId="1" applyFont="1" applyFill="1" applyBorder="1" applyProtection="1">
      <alignment vertical="center"/>
    </xf>
    <xf numFmtId="0" fontId="3" fillId="0" borderId="2" xfId="0" applyFont="1" applyFill="1" applyBorder="1" applyProtection="1">
      <alignment vertical="center"/>
    </xf>
    <xf numFmtId="0" fontId="3" fillId="0" borderId="0" xfId="0" applyFont="1" applyFill="1" applyAlignment="1" applyProtection="1">
      <alignment horizontal="center" vertical="center"/>
    </xf>
    <xf numFmtId="0" fontId="10" fillId="0" borderId="0" xfId="0" applyFont="1" applyFill="1" applyProtection="1">
      <alignment vertical="center"/>
    </xf>
    <xf numFmtId="0" fontId="9" fillId="0" borderId="0" xfId="0" applyFont="1" applyFill="1" applyAlignment="1" applyProtection="1">
      <alignment horizontal="center" vertical="center"/>
    </xf>
    <xf numFmtId="0" fontId="3" fillId="0" borderId="0" xfId="0" applyFont="1" applyFill="1" applyBorder="1" applyProtection="1">
      <alignment vertical="center"/>
    </xf>
    <xf numFmtId="0" fontId="3" fillId="0" borderId="3" xfId="0" applyFont="1" applyFill="1" applyBorder="1" applyProtection="1">
      <alignment vertical="center"/>
    </xf>
    <xf numFmtId="0" fontId="5" fillId="0" borderId="0" xfId="0" applyFont="1" applyFill="1" applyAlignment="1" applyProtection="1">
      <alignment vertical="center"/>
    </xf>
    <xf numFmtId="0" fontId="5" fillId="0" borderId="4" xfId="0" applyFont="1" applyFill="1" applyBorder="1" applyAlignment="1" applyProtection="1">
      <alignment vertical="center"/>
    </xf>
    <xf numFmtId="38" fontId="5" fillId="0" borderId="0" xfId="1" applyFont="1" applyFill="1" applyBorder="1" applyAlignment="1" applyProtection="1">
      <alignment horizontal="left" vertical="center"/>
    </xf>
    <xf numFmtId="0" fontId="14" fillId="0" borderId="0" xfId="0" applyFont="1" applyFill="1" applyProtection="1">
      <alignment vertical="center"/>
    </xf>
    <xf numFmtId="0" fontId="3" fillId="0" borderId="0" xfId="0" applyFont="1" applyFill="1" applyAlignment="1" applyProtection="1">
      <alignment vertical="center"/>
    </xf>
    <xf numFmtId="0" fontId="3" fillId="0" borderId="5" xfId="0" applyFont="1" applyFill="1" applyBorder="1" applyProtection="1">
      <alignment vertical="center"/>
    </xf>
    <xf numFmtId="38" fontId="19" fillId="0" borderId="6" xfId="1"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38" fontId="3" fillId="0" borderId="8" xfId="1" applyFont="1" applyFill="1" applyBorder="1" applyProtection="1">
      <alignment vertical="center"/>
    </xf>
    <xf numFmtId="38" fontId="15" fillId="0" borderId="9" xfId="1" applyFont="1" applyFill="1" applyBorder="1" applyProtection="1">
      <alignment vertical="center"/>
    </xf>
    <xf numFmtId="38" fontId="3" fillId="0" borderId="10" xfId="1" applyFont="1" applyFill="1" applyBorder="1" applyProtection="1">
      <alignment vertical="center"/>
    </xf>
    <xf numFmtId="38" fontId="15" fillId="0" borderId="11" xfId="1" applyFont="1" applyFill="1" applyBorder="1" applyProtection="1">
      <alignment vertical="center"/>
    </xf>
    <xf numFmtId="38" fontId="15" fillId="0" borderId="0" xfId="1" applyFont="1" applyFill="1" applyBorder="1" applyProtection="1">
      <alignment vertical="center"/>
    </xf>
    <xf numFmtId="0" fontId="3" fillId="0" borderId="12" xfId="0" applyFont="1" applyFill="1" applyBorder="1" applyAlignment="1" applyProtection="1">
      <alignment horizontal="center" vertical="center"/>
    </xf>
    <xf numFmtId="38" fontId="3" fillId="0" borderId="13" xfId="1" applyFont="1" applyFill="1" applyBorder="1" applyProtection="1">
      <alignment vertical="center"/>
    </xf>
    <xf numFmtId="38" fontId="15" fillId="0" borderId="14" xfId="1" applyFont="1" applyFill="1" applyBorder="1" applyProtection="1">
      <alignment vertical="center"/>
    </xf>
    <xf numFmtId="38" fontId="3" fillId="0" borderId="15" xfId="1" applyFont="1" applyFill="1" applyBorder="1" applyProtection="1">
      <alignment vertical="center"/>
    </xf>
    <xf numFmtId="38" fontId="15" fillId="0" borderId="16" xfId="1" applyFont="1" applyFill="1" applyBorder="1" applyProtection="1">
      <alignment vertical="center"/>
    </xf>
    <xf numFmtId="38" fontId="3" fillId="0" borderId="17" xfId="1" applyFont="1" applyFill="1" applyBorder="1" applyProtection="1">
      <alignment vertical="center"/>
    </xf>
    <xf numFmtId="179" fontId="15" fillId="0" borderId="17" xfId="1" applyNumberFormat="1" applyFont="1" applyFill="1" applyBorder="1" applyProtection="1">
      <alignment vertical="center"/>
    </xf>
    <xf numFmtId="38" fontId="3" fillId="3" borderId="18" xfId="1" applyFont="1" applyFill="1" applyBorder="1" applyProtection="1">
      <alignment vertical="center"/>
    </xf>
    <xf numFmtId="38" fontId="18" fillId="3" borderId="19" xfId="1" applyFont="1" applyFill="1" applyBorder="1" applyAlignment="1" applyProtection="1">
      <alignment horizontal="center" vertical="center"/>
    </xf>
    <xf numFmtId="179" fontId="18" fillId="3" borderId="19" xfId="1" applyNumberFormat="1" applyFont="1" applyFill="1" applyBorder="1" applyProtection="1">
      <alignment vertical="center"/>
    </xf>
    <xf numFmtId="0" fontId="3" fillId="0" borderId="20" xfId="0" applyFont="1" applyFill="1" applyBorder="1" applyProtection="1">
      <alignment vertical="center"/>
    </xf>
    <xf numFmtId="0" fontId="3" fillId="0" borderId="21" xfId="0" applyFont="1" applyFill="1" applyBorder="1" applyProtection="1">
      <alignment vertical="center"/>
    </xf>
    <xf numFmtId="0" fontId="3" fillId="0" borderId="21" xfId="0" applyFont="1" applyFill="1" applyBorder="1" applyAlignment="1" applyProtection="1">
      <alignment horizontal="center" vertical="center"/>
    </xf>
    <xf numFmtId="0" fontId="4" fillId="0" borderId="21" xfId="0" applyFont="1" applyFill="1" applyBorder="1" applyAlignment="1" applyProtection="1">
      <alignment vertical="center"/>
    </xf>
    <xf numFmtId="0" fontId="10" fillId="0" borderId="21" xfId="0" applyFont="1" applyFill="1" applyBorder="1" applyProtection="1">
      <alignment vertical="center"/>
    </xf>
    <xf numFmtId="0" fontId="16" fillId="0" borderId="0" xfId="0" applyFont="1" applyFill="1" applyBorder="1" applyProtection="1">
      <alignment vertical="center"/>
    </xf>
    <xf numFmtId="0" fontId="26" fillId="0" borderId="0" xfId="0" applyFont="1" applyFill="1" applyBorder="1" applyAlignment="1" applyProtection="1">
      <alignment horizontal="center" vertical="center"/>
    </xf>
    <xf numFmtId="38" fontId="11" fillId="0" borderId="17" xfId="1" applyFont="1" applyFill="1" applyBorder="1" applyProtection="1">
      <alignment vertical="center"/>
    </xf>
    <xf numFmtId="38" fontId="15" fillId="0" borderId="17" xfId="1" applyFont="1" applyFill="1" applyBorder="1" applyProtection="1">
      <alignment vertical="center"/>
    </xf>
    <xf numFmtId="38" fontId="18" fillId="3" borderId="19" xfId="1" applyFont="1" applyFill="1" applyBorder="1" applyProtection="1">
      <alignment vertical="center"/>
    </xf>
    <xf numFmtId="40" fontId="15" fillId="0" borderId="19" xfId="1" applyNumberFormat="1" applyFont="1" applyFill="1" applyBorder="1" applyProtection="1">
      <alignment vertical="center"/>
    </xf>
    <xf numFmtId="38" fontId="3" fillId="0" borderId="22" xfId="1" applyFont="1" applyFill="1" applyBorder="1" applyProtection="1">
      <alignmen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177" fontId="15" fillId="0" borderId="12" xfId="0" applyNumberFormat="1" applyFont="1" applyFill="1" applyBorder="1" applyAlignment="1" applyProtection="1">
      <alignment vertical="center"/>
    </xf>
    <xf numFmtId="0" fontId="3" fillId="0" borderId="12" xfId="0" applyFont="1" applyFill="1" applyBorder="1" applyProtection="1">
      <alignment vertical="center"/>
    </xf>
    <xf numFmtId="0" fontId="3" fillId="0" borderId="4" xfId="0" applyFont="1" applyFill="1" applyBorder="1" applyProtection="1">
      <alignment vertical="center"/>
    </xf>
    <xf numFmtId="38" fontId="15" fillId="0" borderId="19" xfId="1" applyFont="1" applyFill="1" applyBorder="1" applyProtection="1">
      <alignment vertical="center"/>
    </xf>
    <xf numFmtId="0" fontId="3" fillId="0" borderId="0" xfId="0" applyFont="1" applyFill="1" applyBorder="1" applyAlignment="1" applyProtection="1">
      <alignment vertical="center"/>
    </xf>
    <xf numFmtId="0" fontId="3" fillId="0" borderId="23" xfId="0" applyFont="1" applyFill="1" applyBorder="1" applyProtection="1">
      <alignment vertical="center"/>
    </xf>
    <xf numFmtId="38" fontId="25" fillId="0" borderId="0" xfId="1" applyFont="1" applyFill="1" applyBorder="1" applyProtection="1">
      <alignment vertical="center"/>
    </xf>
    <xf numFmtId="0" fontId="3" fillId="0" borderId="24" xfId="0" applyFont="1" applyFill="1" applyBorder="1" applyAlignment="1" applyProtection="1">
      <alignment horizontal="left" vertical="center"/>
    </xf>
    <xf numFmtId="0" fontId="3" fillId="0" borderId="12" xfId="0" applyFont="1" applyFill="1" applyBorder="1" applyAlignment="1" applyProtection="1">
      <alignment horizontal="left" vertical="center"/>
    </xf>
    <xf numFmtId="38" fontId="3" fillId="0" borderId="12" xfId="1" applyFont="1" applyFill="1" applyBorder="1" applyAlignment="1" applyProtection="1">
      <alignment horizontal="center" vertical="center"/>
    </xf>
    <xf numFmtId="0" fontId="3" fillId="0" borderId="12" xfId="0" applyFont="1" applyFill="1" applyBorder="1" applyAlignment="1" applyProtection="1">
      <alignment vertical="center"/>
    </xf>
    <xf numFmtId="0" fontId="10" fillId="0" borderId="12" xfId="0" applyFont="1" applyFill="1" applyBorder="1" applyProtection="1">
      <alignment vertical="center"/>
    </xf>
    <xf numFmtId="3" fontId="3" fillId="0" borderId="12" xfId="0" applyNumberFormat="1" applyFont="1" applyFill="1" applyBorder="1" applyAlignment="1" applyProtection="1">
      <alignment horizontal="center" vertical="center"/>
    </xf>
    <xf numFmtId="0" fontId="3" fillId="0" borderId="25" xfId="0" applyFont="1" applyFill="1" applyBorder="1" applyProtection="1">
      <alignment vertical="center"/>
    </xf>
    <xf numFmtId="38" fontId="3" fillId="0" borderId="26" xfId="1" applyFont="1" applyFill="1" applyBorder="1" applyProtection="1">
      <alignment vertical="center"/>
    </xf>
    <xf numFmtId="38" fontId="15" fillId="0" borderId="27" xfId="1" applyFont="1" applyFill="1" applyBorder="1" applyProtection="1">
      <alignment vertical="center"/>
    </xf>
    <xf numFmtId="38" fontId="3" fillId="3" borderId="17" xfId="1" applyFont="1" applyFill="1" applyBorder="1" applyProtection="1">
      <alignment vertical="center"/>
    </xf>
    <xf numFmtId="0" fontId="3" fillId="0" borderId="0" xfId="0" applyFont="1" applyFill="1" applyAlignment="1" applyProtection="1">
      <alignment horizontal="left" vertical="center"/>
    </xf>
    <xf numFmtId="38" fontId="3" fillId="0" borderId="0" xfId="1" applyFont="1" applyFill="1" applyAlignment="1" applyProtection="1">
      <alignment horizontal="center" vertical="center"/>
    </xf>
    <xf numFmtId="3" fontId="3" fillId="0" borderId="0" xfId="0" applyNumberFormat="1" applyFont="1" applyFill="1" applyAlignment="1" applyProtection="1">
      <alignment horizontal="center" vertical="center"/>
    </xf>
    <xf numFmtId="38" fontId="20" fillId="0" borderId="0" xfId="1"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180" fontId="21" fillId="0" borderId="0" xfId="1" applyNumberFormat="1" applyFont="1" applyFill="1" applyBorder="1" applyAlignment="1" applyProtection="1">
      <alignment horizontal="center" vertical="center" wrapText="1"/>
    </xf>
    <xf numFmtId="38" fontId="3" fillId="0" borderId="0" xfId="1" applyFont="1" applyFill="1" applyBorder="1" applyAlignment="1" applyProtection="1">
      <alignment horizontal="center" vertical="center"/>
    </xf>
    <xf numFmtId="0" fontId="13" fillId="0" borderId="0" xfId="0" applyFont="1" applyFill="1" applyBorder="1" applyProtection="1">
      <alignment vertical="center"/>
    </xf>
    <xf numFmtId="0" fontId="4" fillId="0" borderId="0" xfId="0" applyFont="1" applyFill="1" applyBorder="1" applyAlignment="1" applyProtection="1">
      <alignment vertical="center"/>
    </xf>
    <xf numFmtId="0" fontId="3" fillId="0" borderId="28" xfId="0" applyFont="1" applyFill="1" applyBorder="1" applyAlignment="1" applyProtection="1">
      <alignment horizontal="center" vertical="center"/>
    </xf>
    <xf numFmtId="38" fontId="15" fillId="0" borderId="29" xfId="0" applyNumberFormat="1" applyFont="1" applyFill="1" applyBorder="1" applyAlignment="1" applyProtection="1">
      <alignment vertical="center"/>
    </xf>
    <xf numFmtId="0" fontId="3" fillId="0" borderId="30" xfId="0" applyFont="1" applyFill="1" applyBorder="1" applyAlignment="1" applyProtection="1">
      <alignment horizontal="center" vertical="center"/>
    </xf>
    <xf numFmtId="38" fontId="3" fillId="0" borderId="28" xfId="1" applyFont="1" applyFill="1" applyBorder="1" applyProtection="1">
      <alignment vertical="center"/>
    </xf>
    <xf numFmtId="38" fontId="15" fillId="0" borderId="31" xfId="1" applyFont="1" applyFill="1" applyBorder="1" applyProtection="1">
      <alignment vertical="center"/>
    </xf>
    <xf numFmtId="38" fontId="3" fillId="0" borderId="31" xfId="1" applyFont="1" applyFill="1" applyBorder="1" applyProtection="1">
      <alignment vertical="center"/>
    </xf>
    <xf numFmtId="38" fontId="8" fillId="0" borderId="0" xfId="1" applyFont="1" applyFill="1" applyBorder="1" applyProtection="1">
      <alignment vertical="center"/>
    </xf>
    <xf numFmtId="179" fontId="15" fillId="0" borderId="0" xfId="1" applyNumberFormat="1" applyFont="1" applyFill="1" applyBorder="1" applyProtection="1">
      <alignment vertical="center"/>
    </xf>
    <xf numFmtId="40" fontId="15" fillId="0" borderId="0" xfId="0" applyNumberFormat="1" applyFont="1" applyFill="1" applyBorder="1" applyAlignment="1" applyProtection="1">
      <alignment horizontal="center" vertical="center"/>
    </xf>
    <xf numFmtId="3" fontId="10" fillId="0" borderId="0" xfId="0" applyNumberFormat="1" applyFont="1" applyFill="1" applyBorder="1" applyAlignment="1" applyProtection="1">
      <alignment horizontal="center" vertical="center"/>
    </xf>
    <xf numFmtId="38" fontId="15" fillId="0" borderId="31" xfId="0" applyNumberFormat="1" applyFont="1" applyFill="1" applyBorder="1" applyAlignment="1" applyProtection="1">
      <alignment vertical="center"/>
    </xf>
    <xf numFmtId="0" fontId="3" fillId="0" borderId="14" xfId="0" applyFont="1" applyFill="1" applyBorder="1" applyAlignment="1" applyProtection="1">
      <alignment horizontal="center" vertical="center"/>
    </xf>
    <xf numFmtId="40" fontId="7" fillId="0" borderId="0" xfId="1" applyNumberFormat="1" applyFont="1" applyFill="1" applyBorder="1" applyProtection="1">
      <alignment vertical="center"/>
    </xf>
    <xf numFmtId="38" fontId="7" fillId="0" borderId="0" xfId="1" applyFont="1" applyFill="1" applyBorder="1" applyProtection="1">
      <alignment vertical="center"/>
    </xf>
    <xf numFmtId="0" fontId="13" fillId="0" borderId="0" xfId="0" applyFont="1" applyFill="1" applyBorder="1" applyAlignment="1" applyProtection="1">
      <alignment horizontal="center" vertical="center"/>
    </xf>
    <xf numFmtId="0" fontId="13" fillId="0" borderId="0" xfId="0" applyFont="1" applyFill="1" applyBorder="1" applyAlignment="1" applyProtection="1">
      <alignment vertical="center"/>
    </xf>
    <xf numFmtId="0" fontId="5" fillId="0" borderId="0" xfId="0" applyFont="1" applyFill="1" applyBorder="1" applyProtection="1">
      <alignment vertical="center"/>
    </xf>
    <xf numFmtId="0" fontId="10" fillId="0" borderId="0" xfId="0" applyFont="1" applyFill="1" applyBorder="1" applyProtection="1">
      <alignment vertical="center"/>
    </xf>
    <xf numFmtId="38" fontId="3" fillId="0" borderId="0" xfId="1" applyFont="1" applyFill="1" applyBorder="1" applyAlignment="1" applyProtection="1">
      <alignment horizontal="right" vertical="center"/>
    </xf>
    <xf numFmtId="0" fontId="13" fillId="0" borderId="15" xfId="0" applyFont="1" applyFill="1" applyBorder="1" applyAlignment="1" applyProtection="1">
      <alignment horizontal="center" vertical="center"/>
    </xf>
    <xf numFmtId="3" fontId="3" fillId="0" borderId="0" xfId="0" applyNumberFormat="1" applyFont="1" applyFill="1" applyBorder="1" applyProtection="1">
      <alignment vertical="center"/>
    </xf>
    <xf numFmtId="38" fontId="9" fillId="0" borderId="15" xfId="1" applyFont="1" applyFill="1" applyBorder="1" applyProtection="1">
      <alignment vertical="center"/>
    </xf>
    <xf numFmtId="38" fontId="15" fillId="0" borderId="32" xfId="1" applyFont="1" applyFill="1" applyBorder="1" applyProtection="1">
      <alignment vertical="center"/>
    </xf>
    <xf numFmtId="38" fontId="3" fillId="0" borderId="14" xfId="1" applyFont="1" applyFill="1" applyBorder="1" applyProtection="1">
      <alignment vertical="center"/>
    </xf>
    <xf numFmtId="0" fontId="6" fillId="0" borderId="0" xfId="0" applyFont="1" applyFill="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5" fillId="0" borderId="0" xfId="0" applyFont="1" applyFill="1" applyProtection="1">
      <alignment vertical="center"/>
    </xf>
    <xf numFmtId="38" fontId="3" fillId="0" borderId="0" xfId="1" applyFont="1" applyFill="1" applyAlignment="1" applyProtection="1">
      <alignment horizontal="right" vertical="center"/>
    </xf>
    <xf numFmtId="38" fontId="15" fillId="0" borderId="31" xfId="1" applyFont="1" applyFill="1" applyBorder="1" applyAlignment="1" applyProtection="1">
      <alignment vertical="center"/>
    </xf>
    <xf numFmtId="38" fontId="3" fillId="0" borderId="5" xfId="1" applyFont="1" applyFill="1" applyBorder="1" applyProtection="1">
      <alignment vertical="center"/>
    </xf>
    <xf numFmtId="0" fontId="6" fillId="0" borderId="0" xfId="0" applyFont="1" applyFill="1" applyAlignment="1" applyProtection="1">
      <alignment horizontal="center" vertical="center"/>
    </xf>
    <xf numFmtId="0" fontId="3" fillId="0" borderId="0" xfId="0" applyFont="1" applyFill="1" applyAlignment="1" applyProtection="1">
      <alignment horizontal="right" vertical="center"/>
    </xf>
    <xf numFmtId="3" fontId="12" fillId="0" borderId="0" xfId="0" applyNumberFormat="1" applyFont="1" applyFill="1" applyAlignment="1" applyProtection="1">
      <alignment horizontal="right" vertical="center"/>
    </xf>
    <xf numFmtId="0" fontId="5" fillId="0" borderId="33" xfId="0" applyFont="1" applyFill="1" applyBorder="1" applyAlignment="1" applyProtection="1">
      <alignment horizontal="left" vertical="center"/>
    </xf>
    <xf numFmtId="3" fontId="3" fillId="0" borderId="0" xfId="0" applyNumberFormat="1" applyFont="1" applyFill="1" applyBorder="1" applyAlignment="1" applyProtection="1">
      <alignment horizontal="left" vertical="center"/>
    </xf>
    <xf numFmtId="0" fontId="9" fillId="0" borderId="0" xfId="0" applyFont="1" applyFill="1" applyProtection="1">
      <alignment vertical="center"/>
    </xf>
    <xf numFmtId="178" fontId="3" fillId="0" borderId="0" xfId="1" applyNumberFormat="1" applyFont="1" applyFill="1" applyAlignment="1" applyProtection="1">
      <alignment horizontal="center" vertical="center"/>
    </xf>
    <xf numFmtId="3" fontId="10" fillId="0" borderId="0" xfId="0" applyNumberFormat="1" applyFont="1" applyFill="1" applyAlignment="1" applyProtection="1">
      <alignment horizontal="center" vertical="center"/>
    </xf>
    <xf numFmtId="0" fontId="8" fillId="0" borderId="0" xfId="0" applyFont="1" applyFill="1" applyProtection="1">
      <alignment vertical="center"/>
    </xf>
    <xf numFmtId="0" fontId="19" fillId="0" borderId="5" xfId="0" applyFont="1" applyFill="1" applyBorder="1" applyAlignment="1" applyProtection="1">
      <alignment horizontal="center" vertical="center"/>
    </xf>
    <xf numFmtId="179" fontId="24" fillId="3" borderId="19" xfId="1" applyNumberFormat="1" applyFont="1" applyFill="1" applyBorder="1" applyProtection="1">
      <alignment vertical="center"/>
    </xf>
    <xf numFmtId="3" fontId="5" fillId="0" borderId="0" xfId="0" applyNumberFormat="1" applyFont="1" applyFill="1" applyBorder="1" applyAlignment="1" applyProtection="1">
      <alignment vertical="center"/>
    </xf>
    <xf numFmtId="3" fontId="10" fillId="0" borderId="0" xfId="0" applyNumberFormat="1" applyFont="1" applyFill="1" applyBorder="1" applyAlignment="1" applyProtection="1">
      <alignment vertical="center"/>
    </xf>
    <xf numFmtId="0" fontId="3" fillId="0" borderId="34" xfId="0" applyFont="1" applyFill="1" applyBorder="1" applyProtection="1">
      <alignment vertical="center"/>
    </xf>
    <xf numFmtId="38" fontId="3" fillId="0" borderId="35" xfId="1" applyFont="1" applyFill="1" applyBorder="1" applyProtection="1">
      <alignment vertical="center"/>
    </xf>
    <xf numFmtId="0" fontId="3" fillId="0" borderId="35" xfId="0" applyFont="1" applyFill="1" applyBorder="1" applyProtection="1">
      <alignment vertical="center"/>
    </xf>
    <xf numFmtId="0" fontId="3" fillId="0" borderId="36" xfId="0" applyFont="1" applyFill="1" applyBorder="1" applyProtection="1">
      <alignment vertical="center"/>
    </xf>
    <xf numFmtId="0" fontId="3" fillId="0" borderId="0" xfId="0" applyFont="1" applyFill="1" applyAlignment="1" applyProtection="1">
      <alignment vertical="center" shrinkToFit="1"/>
    </xf>
    <xf numFmtId="38" fontId="15" fillId="3" borderId="14" xfId="1" applyFont="1" applyFill="1" applyBorder="1" applyProtection="1">
      <alignment vertical="center"/>
    </xf>
    <xf numFmtId="38" fontId="3" fillId="3" borderId="15" xfId="1" applyFont="1" applyFill="1" applyBorder="1" applyProtection="1">
      <alignment vertical="center"/>
    </xf>
    <xf numFmtId="38" fontId="15" fillId="3" borderId="16" xfId="1" applyFont="1" applyFill="1" applyBorder="1" applyProtection="1">
      <alignment vertical="center"/>
    </xf>
    <xf numFmtId="38" fontId="3" fillId="0" borderId="37" xfId="1" applyFont="1" applyFill="1" applyBorder="1" applyProtection="1">
      <alignment vertical="center"/>
    </xf>
    <xf numFmtId="38" fontId="15" fillId="3" borderId="27" xfId="1" applyFont="1" applyFill="1" applyBorder="1" applyProtection="1">
      <alignment vertical="center"/>
    </xf>
    <xf numFmtId="0" fontId="5" fillId="0" borderId="0" xfId="0" applyFont="1" applyFill="1" applyAlignment="1" applyProtection="1">
      <alignment horizontal="left" vertical="center"/>
    </xf>
    <xf numFmtId="0" fontId="39" fillId="0" borderId="0" xfId="0" applyFont="1" applyFill="1" applyAlignment="1" applyProtection="1">
      <alignment horizontal="left" vertical="center"/>
    </xf>
    <xf numFmtId="38" fontId="15" fillId="0" borderId="37" xfId="1" applyFont="1" applyFill="1" applyBorder="1" applyProtection="1">
      <alignment vertical="center"/>
    </xf>
    <xf numFmtId="38" fontId="3" fillId="0" borderId="38" xfId="1" applyFont="1" applyFill="1" applyBorder="1" applyProtection="1">
      <alignment vertical="center"/>
    </xf>
    <xf numFmtId="0" fontId="5" fillId="0" borderId="5" xfId="0" applyFont="1" applyFill="1" applyBorder="1" applyAlignment="1" applyProtection="1">
      <alignment horizontal="right" vertical="center" shrinkToFit="1"/>
    </xf>
    <xf numFmtId="38" fontId="3" fillId="0" borderId="39" xfId="1" applyFont="1" applyFill="1" applyBorder="1" applyProtection="1">
      <alignment vertical="center"/>
    </xf>
    <xf numFmtId="0" fontId="36" fillId="0" borderId="0" xfId="0" applyFont="1" applyFill="1" applyBorder="1" applyAlignment="1" applyProtection="1">
      <alignment horizontal="center"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horizontal="left" vertical="center" wrapText="1"/>
    </xf>
    <xf numFmtId="0" fontId="36"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3" fillId="0" borderId="40" xfId="0" applyFont="1" applyFill="1" applyBorder="1" applyProtection="1">
      <alignment vertical="center"/>
    </xf>
    <xf numFmtId="49" fontId="3" fillId="0" borderId="0" xfId="1" applyNumberFormat="1" applyFont="1" applyFill="1" applyBorder="1" applyProtection="1">
      <alignment vertical="center"/>
    </xf>
    <xf numFmtId="49" fontId="9" fillId="0" borderId="0" xfId="1" applyNumberFormat="1" applyFont="1" applyFill="1" applyBorder="1" applyProtection="1">
      <alignment vertical="center"/>
    </xf>
    <xf numFmtId="38" fontId="15" fillId="0" borderId="41" xfId="1" applyFont="1" applyFill="1" applyBorder="1" applyProtection="1">
      <alignment vertical="center"/>
    </xf>
    <xf numFmtId="0" fontId="45" fillId="0" borderId="0" xfId="0" applyFont="1" applyFill="1" applyAlignment="1" applyProtection="1">
      <alignment horizontal="left" vertical="center"/>
    </xf>
    <xf numFmtId="0" fontId="3" fillId="0" borderId="17" xfId="0" applyFont="1" applyFill="1" applyBorder="1" applyAlignment="1" applyProtection="1">
      <alignment horizontal="center" vertical="center"/>
    </xf>
    <xf numFmtId="0" fontId="3" fillId="0" borderId="42" xfId="0" applyFont="1" applyFill="1" applyBorder="1" applyProtection="1">
      <alignment vertical="center"/>
    </xf>
    <xf numFmtId="0" fontId="45" fillId="0" borderId="1" xfId="0" applyFont="1" applyFill="1" applyBorder="1" applyAlignment="1" applyProtection="1">
      <alignment horizontal="left" vertical="center"/>
    </xf>
    <xf numFmtId="0" fontId="42" fillId="0" borderId="0" xfId="0" applyFont="1" applyFill="1" applyAlignment="1" applyProtection="1">
      <alignment horizontal="center" vertical="center"/>
    </xf>
    <xf numFmtId="0" fontId="51" fillId="0" borderId="20" xfId="0" applyFont="1" applyFill="1" applyBorder="1" applyProtection="1">
      <alignment vertical="center"/>
    </xf>
    <xf numFmtId="38" fontId="3" fillId="0" borderId="3" xfId="1" applyFont="1" applyFill="1" applyBorder="1" applyProtection="1">
      <alignment vertical="center"/>
    </xf>
    <xf numFmtId="38" fontId="3" fillId="0" borderId="36" xfId="1" applyFont="1" applyFill="1" applyBorder="1" applyProtection="1">
      <alignment vertical="center"/>
    </xf>
    <xf numFmtId="38" fontId="3" fillId="0" borderId="7" xfId="1" applyFont="1" applyFill="1" applyBorder="1" applyProtection="1">
      <alignment vertical="center"/>
    </xf>
    <xf numFmtId="38" fontId="3" fillId="0" borderId="7" xfId="1" applyFont="1" applyFill="1" applyBorder="1" applyAlignment="1" applyProtection="1">
      <alignment horizontal="left" vertical="center"/>
    </xf>
    <xf numFmtId="0" fontId="52" fillId="0" borderId="0" xfId="0" applyFont="1" applyFill="1" applyAlignment="1" applyProtection="1">
      <alignment vertical="center"/>
    </xf>
    <xf numFmtId="3" fontId="3" fillId="0" borderId="0" xfId="0" applyNumberFormat="1" applyFont="1" applyFill="1" applyBorder="1" applyAlignment="1" applyProtection="1">
      <alignment horizontal="center" vertical="center"/>
    </xf>
    <xf numFmtId="38" fontId="15" fillId="0" borderId="0" xfId="1" applyFont="1" applyFill="1" applyBorder="1" applyAlignment="1" applyProtection="1">
      <alignment horizontal="right" vertical="center"/>
    </xf>
    <xf numFmtId="38" fontId="3" fillId="0" borderId="17" xfId="1"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right" vertical="center"/>
    </xf>
    <xf numFmtId="3" fontId="15" fillId="0" borderId="0" xfId="0" applyNumberFormat="1" applyFont="1" applyFill="1" applyBorder="1" applyAlignment="1" applyProtection="1">
      <alignment horizontal="center" vertical="center"/>
    </xf>
    <xf numFmtId="176" fontId="15" fillId="0" borderId="0" xfId="0" applyNumberFormat="1" applyFont="1" applyFill="1" applyBorder="1" applyAlignment="1" applyProtection="1">
      <alignment horizontal="center" vertical="center"/>
    </xf>
    <xf numFmtId="38" fontId="15" fillId="0" borderId="25" xfId="1" applyFont="1" applyFill="1" applyBorder="1" applyAlignment="1" applyProtection="1">
      <alignment horizontal="right" vertical="center"/>
    </xf>
    <xf numFmtId="38" fontId="11" fillId="0" borderId="0" xfId="1" applyFont="1" applyFill="1" applyBorder="1" applyProtection="1">
      <alignment vertical="center"/>
    </xf>
    <xf numFmtId="0" fontId="3" fillId="0" borderId="43" xfId="0" applyFont="1" applyFill="1" applyBorder="1" applyProtection="1">
      <alignment vertical="center"/>
    </xf>
    <xf numFmtId="0" fontId="16" fillId="0" borderId="21" xfId="0" applyFont="1" applyFill="1" applyBorder="1" applyProtection="1">
      <alignment vertical="center"/>
    </xf>
    <xf numFmtId="0" fontId="26" fillId="0" borderId="21" xfId="0" applyFont="1" applyFill="1" applyBorder="1" applyAlignment="1" applyProtection="1">
      <alignment horizontal="center" vertical="center"/>
    </xf>
    <xf numFmtId="0" fontId="3" fillId="0" borderId="17" xfId="0" applyFont="1" applyFill="1" applyBorder="1" applyProtection="1">
      <alignment vertical="center"/>
    </xf>
    <xf numFmtId="0" fontId="53" fillId="0" borderId="0" xfId="0" applyFont="1" applyFill="1" applyAlignment="1" applyProtection="1">
      <alignment horizontal="right" vertical="center"/>
    </xf>
    <xf numFmtId="38" fontId="9" fillId="0" borderId="0" xfId="1" applyFont="1" applyFill="1" applyBorder="1" applyAlignment="1" applyProtection="1">
      <alignment horizontal="center" vertical="center"/>
    </xf>
    <xf numFmtId="38" fontId="9" fillId="0" borderId="0" xfId="1" applyFont="1" applyFill="1" applyProtection="1">
      <alignment vertical="center"/>
    </xf>
    <xf numFmtId="38" fontId="9" fillId="0" borderId="0" xfId="1" applyFont="1" applyFill="1" applyBorder="1" applyAlignment="1" applyProtection="1">
      <alignment horizontal="left" vertical="center"/>
    </xf>
    <xf numFmtId="38" fontId="26" fillId="0" borderId="0" xfId="1" applyFont="1" applyFill="1" applyBorder="1" applyProtection="1">
      <alignment vertical="center"/>
    </xf>
    <xf numFmtId="38" fontId="9" fillId="0" borderId="0" xfId="1" applyFont="1" applyFill="1" applyBorder="1" applyProtection="1">
      <alignment vertical="center"/>
    </xf>
    <xf numFmtId="180" fontId="26" fillId="0" borderId="0" xfId="1" applyNumberFormat="1" applyFont="1" applyFill="1" applyBorder="1" applyAlignment="1" applyProtection="1">
      <alignment horizontal="center" vertical="center" wrapText="1"/>
    </xf>
    <xf numFmtId="38" fontId="26" fillId="0" borderId="17" xfId="1" applyFont="1" applyFill="1" applyBorder="1" applyProtection="1">
      <alignment vertical="center"/>
    </xf>
    <xf numFmtId="38" fontId="49" fillId="0" borderId="17" xfId="1" applyFont="1" applyFill="1" applyBorder="1" applyProtection="1">
      <alignment vertical="center"/>
    </xf>
    <xf numFmtId="38" fontId="13" fillId="0" borderId="17" xfId="1" applyFont="1" applyFill="1" applyBorder="1" applyProtection="1">
      <alignment vertical="center"/>
    </xf>
    <xf numFmtId="38" fontId="49" fillId="0" borderId="0" xfId="1" applyFont="1" applyFill="1" applyBorder="1" applyProtection="1">
      <alignment vertical="center"/>
    </xf>
    <xf numFmtId="0" fontId="15" fillId="0" borderId="0" xfId="0" applyFont="1" applyFill="1" applyBorder="1" applyAlignment="1" applyProtection="1">
      <alignment vertical="center"/>
    </xf>
    <xf numFmtId="0" fontId="33" fillId="0" borderId="0" xfId="0" applyFont="1" applyFill="1" applyBorder="1" applyAlignment="1" applyProtection="1">
      <alignment vertical="center"/>
    </xf>
    <xf numFmtId="0" fontId="15" fillId="0" borderId="0" xfId="0" applyFont="1" applyFill="1" applyBorder="1" applyAlignment="1" applyProtection="1">
      <alignment vertical="center" shrinkToFit="1"/>
    </xf>
    <xf numFmtId="0" fontId="3" fillId="0" borderId="44" xfId="0" applyFont="1" applyFill="1" applyBorder="1" applyAlignment="1" applyProtection="1">
      <alignment horizontal="left" vertical="center"/>
    </xf>
    <xf numFmtId="38" fontId="15" fillId="0" borderId="45" xfId="1" applyFont="1" applyFill="1" applyBorder="1" applyProtection="1">
      <alignment vertical="center"/>
    </xf>
    <xf numFmtId="38" fontId="18" fillId="0" borderId="45" xfId="1" applyFont="1" applyFill="1" applyBorder="1" applyProtection="1">
      <alignment vertical="center"/>
    </xf>
    <xf numFmtId="38" fontId="18" fillId="0" borderId="0" xfId="1" applyFont="1" applyFill="1" applyBorder="1" applyProtection="1">
      <alignment vertical="center"/>
    </xf>
    <xf numFmtId="38" fontId="15" fillId="0" borderId="4" xfId="1" applyFont="1" applyFill="1" applyBorder="1" applyAlignment="1" applyProtection="1">
      <alignment horizontal="right" vertical="center"/>
    </xf>
    <xf numFmtId="38" fontId="3" fillId="0" borderId="12" xfId="1" applyFont="1" applyFill="1" applyBorder="1" applyProtection="1">
      <alignment vertical="center"/>
    </xf>
    <xf numFmtId="38" fontId="15" fillId="0" borderId="12" xfId="1" applyFont="1" applyFill="1" applyBorder="1" applyProtection="1">
      <alignment vertical="center"/>
    </xf>
    <xf numFmtId="38" fontId="15" fillId="0" borderId="0" xfId="1" applyFont="1" applyFill="1" applyBorder="1" applyAlignment="1" applyProtection="1">
      <alignment vertical="center"/>
    </xf>
    <xf numFmtId="38" fontId="21" fillId="0" borderId="0" xfId="1" applyFont="1" applyFill="1" applyBorder="1" applyAlignment="1" applyProtection="1">
      <alignment horizontal="center" vertical="center" wrapText="1"/>
    </xf>
    <xf numFmtId="38" fontId="23" fillId="0" borderId="46" xfId="1" applyFont="1" applyFill="1" applyBorder="1" applyAlignment="1" applyProtection="1">
      <alignment horizontal="left" vertical="center"/>
    </xf>
    <xf numFmtId="38" fontId="3" fillId="0" borderId="0" xfId="1" applyFont="1" applyFill="1" applyBorder="1" applyAlignment="1" applyProtection="1">
      <alignment vertical="center" shrinkToFit="1"/>
    </xf>
    <xf numFmtId="38" fontId="25" fillId="0" borderId="0" xfId="1" applyFont="1" applyFill="1" applyBorder="1" applyAlignment="1" applyProtection="1">
      <alignment vertical="center" shrinkToFit="1"/>
    </xf>
    <xf numFmtId="38" fontId="3" fillId="0" borderId="35" xfId="1" applyFont="1" applyFill="1" applyBorder="1" applyAlignment="1" applyProtection="1">
      <alignment vertical="center" shrinkToFit="1"/>
    </xf>
    <xf numFmtId="0" fontId="3" fillId="0" borderId="5"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5" fillId="0" borderId="4" xfId="0" applyFont="1" applyFill="1" applyBorder="1" applyAlignment="1" applyProtection="1">
      <alignment horizontal="left" vertical="center"/>
    </xf>
    <xf numFmtId="0" fontId="0" fillId="0" borderId="0" xfId="0" applyBorder="1" applyAlignment="1">
      <alignment vertical="center"/>
    </xf>
    <xf numFmtId="0" fontId="9" fillId="0" borderId="0" xfId="0" applyFont="1" applyFill="1" applyBorder="1" applyAlignment="1" applyProtection="1">
      <alignment horizontal="center" vertical="center"/>
    </xf>
    <xf numFmtId="0" fontId="3" fillId="0" borderId="43" xfId="0" applyFont="1" applyFill="1" applyBorder="1" applyAlignment="1" applyProtection="1">
      <alignment horizontal="left" vertical="center"/>
    </xf>
    <xf numFmtId="38" fontId="5" fillId="0" borderId="12" xfId="1" applyFont="1" applyFill="1" applyBorder="1" applyAlignment="1" applyProtection="1">
      <alignment horizontal="right" vertical="center"/>
    </xf>
    <xf numFmtId="3" fontId="10" fillId="0" borderId="12" xfId="0" applyNumberFormat="1" applyFont="1" applyFill="1" applyBorder="1" applyAlignment="1" applyProtection="1">
      <alignment horizontal="center" vertical="center"/>
    </xf>
    <xf numFmtId="0" fontId="33" fillId="0" borderId="12" xfId="0" applyFont="1" applyFill="1" applyBorder="1" applyAlignment="1" applyProtection="1">
      <alignment vertical="center"/>
    </xf>
    <xf numFmtId="38" fontId="15" fillId="0" borderId="12" xfId="1" applyFont="1" applyFill="1" applyBorder="1" applyAlignment="1" applyProtection="1">
      <alignment horizontal="right" vertical="center"/>
    </xf>
    <xf numFmtId="0" fontId="15" fillId="0" borderId="12" xfId="0" applyFont="1" applyFill="1" applyBorder="1" applyAlignment="1" applyProtection="1">
      <alignment vertical="center" shrinkToFit="1"/>
    </xf>
    <xf numFmtId="38" fontId="9" fillId="0" borderId="12" xfId="1" applyFont="1" applyFill="1" applyBorder="1" applyAlignment="1" applyProtection="1">
      <alignment horizontal="center" vertical="center"/>
    </xf>
    <xf numFmtId="0" fontId="50" fillId="0" borderId="47" xfId="0" applyFont="1" applyFill="1" applyBorder="1" applyAlignment="1" applyProtection="1">
      <alignment horizontal="center" vertical="center" shrinkToFit="1"/>
    </xf>
    <xf numFmtId="0" fontId="47" fillId="0" borderId="0" xfId="0" applyFont="1" applyFill="1" applyAlignment="1" applyProtection="1">
      <alignment horizontal="center" vertical="center"/>
    </xf>
    <xf numFmtId="0" fontId="18" fillId="0" borderId="0" xfId="0" applyFont="1" applyFill="1" applyAlignment="1" applyProtection="1">
      <alignment horizontal="left" vertical="center"/>
    </xf>
    <xf numFmtId="177" fontId="15" fillId="0" borderId="12" xfId="0" applyNumberFormat="1" applyFont="1" applyFill="1" applyBorder="1" applyAlignment="1" applyProtection="1">
      <alignment horizontal="center" vertical="center"/>
    </xf>
    <xf numFmtId="38" fontId="15" fillId="0" borderId="17" xfId="0" applyNumberFormat="1" applyFont="1" applyFill="1" applyBorder="1" applyProtection="1">
      <alignment vertical="center"/>
    </xf>
    <xf numFmtId="180" fontId="9" fillId="0" borderId="17" xfId="1" applyNumberFormat="1" applyFont="1" applyFill="1" applyBorder="1" applyAlignment="1" applyProtection="1">
      <alignment horizontal="center" vertical="center" wrapText="1"/>
    </xf>
    <xf numFmtId="38" fontId="9" fillId="0" borderId="17" xfId="1" applyFont="1" applyFill="1" applyBorder="1" applyProtection="1">
      <alignment vertical="center"/>
    </xf>
    <xf numFmtId="38" fontId="3" fillId="0" borderId="12" xfId="1" applyFont="1" applyFill="1" applyBorder="1" applyAlignment="1" applyProtection="1">
      <alignment horizontal="left" vertical="center"/>
    </xf>
    <xf numFmtId="0" fontId="58" fillId="0" borderId="43" xfId="0" applyFont="1" applyFill="1" applyBorder="1" applyProtection="1">
      <alignment vertical="center"/>
    </xf>
    <xf numFmtId="38" fontId="3" fillId="0" borderId="48" xfId="1" applyFont="1" applyFill="1" applyBorder="1" applyProtection="1">
      <alignment vertical="center"/>
    </xf>
    <xf numFmtId="38" fontId="15" fillId="0" borderId="48" xfId="1" applyFont="1" applyFill="1" applyBorder="1" applyProtection="1">
      <alignment vertical="center"/>
    </xf>
    <xf numFmtId="38" fontId="5" fillId="0" borderId="1" xfId="1"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0" fillId="0" borderId="0" xfId="0" applyBorder="1" applyAlignment="1">
      <alignment vertical="center" shrinkToFit="1"/>
    </xf>
    <xf numFmtId="0" fontId="27" fillId="0" borderId="0" xfId="0" applyFont="1" applyBorder="1" applyAlignment="1">
      <alignment vertical="center"/>
    </xf>
    <xf numFmtId="38" fontId="20" fillId="0" borderId="23" xfId="1" applyFont="1" applyFill="1" applyBorder="1" applyAlignment="1" applyProtection="1">
      <alignment horizontal="center" vertical="center"/>
    </xf>
    <xf numFmtId="180" fontId="21" fillId="0" borderId="23" xfId="1" applyNumberFormat="1"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xf>
    <xf numFmtId="38" fontId="5" fillId="0" borderId="0" xfId="1" applyFont="1" applyFill="1" applyBorder="1" applyAlignment="1" applyProtection="1">
      <alignment horizontal="center" vertical="center"/>
    </xf>
    <xf numFmtId="38" fontId="9" fillId="0" borderId="35" xfId="1" applyFont="1" applyFill="1" applyBorder="1" applyProtection="1">
      <alignment vertical="center"/>
    </xf>
    <xf numFmtId="38" fontId="3" fillId="0" borderId="32" xfId="1" applyFont="1" applyFill="1" applyBorder="1" applyProtection="1">
      <alignment vertical="center"/>
    </xf>
    <xf numFmtId="0" fontId="5" fillId="0" borderId="1" xfId="0" applyFont="1" applyFill="1" applyBorder="1" applyAlignment="1" applyProtection="1">
      <alignment horizontal="center" vertical="center"/>
    </xf>
    <xf numFmtId="38" fontId="3" fillId="0" borderId="49" xfId="1" applyFont="1" applyFill="1" applyBorder="1" applyProtection="1">
      <alignment vertical="center"/>
    </xf>
    <xf numFmtId="38" fontId="20" fillId="0" borderId="49" xfId="1" applyFont="1" applyFill="1" applyBorder="1" applyAlignment="1" applyProtection="1">
      <alignment horizontal="center" vertical="center"/>
    </xf>
    <xf numFmtId="38" fontId="15" fillId="0" borderId="49" xfId="1" applyFont="1" applyFill="1" applyBorder="1" applyProtection="1">
      <alignment vertical="center"/>
    </xf>
    <xf numFmtId="38" fontId="3" fillId="0" borderId="0" xfId="1" applyFont="1" applyFill="1" applyBorder="1" applyAlignment="1" applyProtection="1">
      <alignment vertical="center"/>
    </xf>
    <xf numFmtId="3" fontId="15" fillId="0" borderId="0" xfId="1" applyNumberFormat="1" applyFont="1" applyFill="1" applyBorder="1" applyAlignment="1" applyProtection="1">
      <alignment horizontal="center" vertical="center"/>
    </xf>
    <xf numFmtId="38" fontId="3" fillId="0" borderId="32" xfId="1" applyFont="1" applyFill="1" applyBorder="1" applyAlignment="1" applyProtection="1">
      <alignment vertical="center"/>
    </xf>
    <xf numFmtId="3" fontId="15" fillId="0" borderId="48" xfId="1" applyNumberFormat="1" applyFont="1" applyFill="1" applyBorder="1" applyAlignment="1" applyProtection="1">
      <alignment horizontal="right" vertical="center"/>
    </xf>
    <xf numFmtId="180" fontId="59" fillId="0" borderId="32" xfId="1" applyNumberFormat="1" applyFont="1" applyFill="1" applyBorder="1" applyAlignment="1" applyProtection="1">
      <alignment horizontal="center" vertical="center" wrapText="1"/>
    </xf>
    <xf numFmtId="38" fontId="60" fillId="0" borderId="17" xfId="1" applyFont="1" applyFill="1" applyBorder="1" applyAlignment="1" applyProtection="1">
      <alignment horizontal="center" vertical="center"/>
    </xf>
    <xf numFmtId="38" fontId="5" fillId="0" borderId="5" xfId="1" applyFont="1" applyFill="1" applyBorder="1" applyAlignment="1" applyProtection="1">
      <alignment horizontal="left" vertical="center"/>
    </xf>
    <xf numFmtId="38" fontId="15" fillId="0" borderId="5" xfId="1" applyFont="1" applyFill="1" applyBorder="1" applyProtection="1">
      <alignment vertical="center"/>
    </xf>
    <xf numFmtId="38" fontId="15" fillId="0" borderId="21" xfId="1" applyFont="1" applyFill="1" applyBorder="1" applyProtection="1">
      <alignment vertical="center"/>
    </xf>
    <xf numFmtId="0" fontId="5" fillId="0" borderId="17" xfId="0" applyFont="1" applyFill="1" applyBorder="1" applyAlignment="1" applyProtection="1">
      <alignment horizontal="center" vertical="center"/>
    </xf>
    <xf numFmtId="38" fontId="8" fillId="0" borderId="17" xfId="1" applyFont="1" applyFill="1" applyBorder="1" applyAlignment="1" applyProtection="1">
      <alignment horizontal="center" vertical="center"/>
    </xf>
    <xf numFmtId="0" fontId="3" fillId="0" borderId="50" xfId="0" applyFont="1" applyFill="1" applyBorder="1" applyAlignment="1" applyProtection="1">
      <alignment horizontal="right" vertical="center"/>
    </xf>
    <xf numFmtId="0" fontId="3" fillId="0" borderId="44" xfId="0" applyFont="1" applyFill="1" applyBorder="1" applyProtection="1">
      <alignment vertical="center"/>
    </xf>
    <xf numFmtId="0" fontId="10" fillId="0" borderId="3" xfId="0" applyFont="1" applyFill="1" applyBorder="1" applyProtection="1">
      <alignment vertical="center"/>
    </xf>
    <xf numFmtId="0" fontId="0" fillId="0" borderId="23" xfId="0" applyBorder="1" applyProtection="1">
      <alignment vertical="center"/>
    </xf>
    <xf numFmtId="38" fontId="23" fillId="0" borderId="0" xfId="1" applyFont="1" applyFill="1" applyBorder="1" applyProtection="1">
      <alignment vertical="center"/>
    </xf>
    <xf numFmtId="0" fontId="0" fillId="0" borderId="0" xfId="0" applyBorder="1" applyProtection="1">
      <alignment vertical="center"/>
    </xf>
    <xf numFmtId="0" fontId="3" fillId="0" borderId="35" xfId="0" applyFont="1" applyFill="1" applyBorder="1" applyAlignment="1" applyProtection="1">
      <alignment horizontal="center" vertical="center"/>
    </xf>
    <xf numFmtId="0" fontId="10" fillId="0" borderId="36" xfId="0" applyFont="1" applyFill="1" applyBorder="1" applyProtection="1">
      <alignment vertical="center"/>
    </xf>
    <xf numFmtId="0" fontId="10" fillId="0" borderId="35" xfId="0" applyFont="1" applyFill="1" applyBorder="1" applyProtection="1">
      <alignment vertical="center"/>
    </xf>
    <xf numFmtId="0" fontId="48" fillId="0" borderId="0" xfId="0" applyFont="1" applyFill="1" applyBorder="1" applyAlignment="1" applyProtection="1">
      <alignment horizontal="center" vertical="center"/>
    </xf>
    <xf numFmtId="38" fontId="42" fillId="0" borderId="0" xfId="1" applyFont="1" applyFill="1" applyBorder="1" applyAlignment="1" applyProtection="1">
      <alignment horizontal="center" vertical="center"/>
    </xf>
    <xf numFmtId="0" fontId="45" fillId="0" borderId="0" xfId="0" applyFont="1" applyFill="1" applyBorder="1" applyAlignment="1" applyProtection="1">
      <alignment horizontal="left" vertical="center"/>
    </xf>
    <xf numFmtId="0" fontId="43" fillId="0" borderId="1" xfId="0" applyFont="1" applyFill="1" applyBorder="1" applyAlignment="1" applyProtection="1">
      <alignment horizontal="center" vertical="center"/>
    </xf>
    <xf numFmtId="0" fontId="43" fillId="0" borderId="0" xfId="0" applyFont="1" applyFill="1" applyBorder="1" applyAlignment="1" applyProtection="1">
      <alignment horizontal="center" vertical="center"/>
    </xf>
    <xf numFmtId="0" fontId="18" fillId="0" borderId="23" xfId="0" applyFont="1" applyFill="1" applyBorder="1" applyAlignment="1" applyProtection="1">
      <alignment vertical="top" textRotation="255"/>
    </xf>
    <xf numFmtId="38" fontId="3" fillId="3" borderId="51" xfId="1" applyFont="1" applyFill="1" applyBorder="1" applyProtection="1">
      <alignment vertical="center"/>
    </xf>
    <xf numFmtId="38" fontId="15" fillId="3" borderId="30" xfId="1" applyFont="1" applyFill="1" applyBorder="1" applyProtection="1">
      <alignment vertical="center"/>
    </xf>
    <xf numFmtId="38" fontId="3" fillId="3" borderId="28" xfId="1" applyFont="1" applyFill="1" applyBorder="1" applyProtection="1">
      <alignment vertical="center"/>
    </xf>
    <xf numFmtId="38" fontId="15" fillId="3" borderId="52" xfId="1" applyFont="1" applyFill="1" applyBorder="1" applyProtection="1">
      <alignment vertical="center"/>
    </xf>
    <xf numFmtId="38" fontId="3" fillId="3" borderId="13" xfId="1" applyFont="1" applyFill="1" applyBorder="1" applyProtection="1">
      <alignment vertical="center"/>
    </xf>
    <xf numFmtId="38" fontId="3" fillId="3" borderId="38" xfId="1" applyFont="1" applyFill="1" applyBorder="1" applyProtection="1">
      <alignment vertical="center"/>
    </xf>
    <xf numFmtId="38" fontId="3" fillId="3" borderId="26" xfId="1" applyFont="1" applyFill="1" applyBorder="1" applyProtection="1">
      <alignment vertical="center"/>
    </xf>
    <xf numFmtId="38" fontId="5" fillId="0" borderId="0" xfId="1" applyFont="1" applyFill="1" applyBorder="1" applyAlignment="1" applyProtection="1">
      <alignment vertical="center"/>
    </xf>
    <xf numFmtId="38" fontId="15" fillId="4" borderId="14" xfId="1" applyFont="1" applyFill="1" applyBorder="1" applyProtection="1">
      <alignment vertical="center"/>
    </xf>
    <xf numFmtId="38" fontId="8" fillId="0" borderId="0" xfId="1" applyFont="1" applyFill="1" applyBorder="1" applyAlignment="1" applyProtection="1">
      <alignment horizontal="center" vertical="center"/>
    </xf>
    <xf numFmtId="180" fontId="9" fillId="0" borderId="0" xfId="1" applyNumberFormat="1" applyFont="1" applyFill="1" applyBorder="1" applyAlignment="1" applyProtection="1">
      <alignment horizontal="center" vertical="center" wrapText="1"/>
    </xf>
    <xf numFmtId="38" fontId="13" fillId="0" borderId="0" xfId="1" applyFont="1" applyFill="1" applyBorder="1" applyProtection="1">
      <alignment vertical="center"/>
    </xf>
    <xf numFmtId="38" fontId="8" fillId="0" borderId="53" xfId="0" applyNumberFormat="1" applyFont="1" applyFill="1" applyBorder="1" applyAlignment="1" applyProtection="1">
      <alignment horizontal="center" vertical="center"/>
    </xf>
    <xf numFmtId="3" fontId="76" fillId="0" borderId="0" xfId="0" applyNumberFormat="1" applyFont="1" applyFill="1" applyProtection="1">
      <alignment vertical="center"/>
    </xf>
    <xf numFmtId="0" fontId="77" fillId="0" borderId="0" xfId="0" applyFont="1" applyFill="1" applyProtection="1">
      <alignment vertical="center"/>
    </xf>
    <xf numFmtId="38" fontId="49" fillId="0" borderId="17" xfId="1" applyFont="1" applyFill="1" applyBorder="1" applyAlignment="1" applyProtection="1">
      <alignment horizontal="center" vertical="center"/>
    </xf>
    <xf numFmtId="38" fontId="34" fillId="0" borderId="17" xfId="1"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48" xfId="0" applyFont="1" applyFill="1" applyBorder="1" applyAlignment="1" applyProtection="1">
      <alignment horizontal="center" vertical="center"/>
    </xf>
    <xf numFmtId="0" fontId="3" fillId="0" borderId="49" xfId="0" applyFont="1" applyFill="1" applyBorder="1" applyProtection="1">
      <alignment vertical="center"/>
    </xf>
    <xf numFmtId="0" fontId="3" fillId="0" borderId="48" xfId="0" applyFont="1" applyFill="1" applyBorder="1" applyProtection="1">
      <alignment vertical="center"/>
    </xf>
    <xf numFmtId="0" fontId="3" fillId="0" borderId="54" xfId="0" applyFont="1" applyFill="1" applyBorder="1" applyAlignment="1" applyProtection="1">
      <alignment horizontal="center" vertical="center"/>
    </xf>
    <xf numFmtId="0" fontId="3" fillId="0" borderId="55" xfId="0" applyFont="1" applyFill="1" applyBorder="1" applyAlignment="1" applyProtection="1">
      <alignment horizontal="center" vertical="center"/>
    </xf>
    <xf numFmtId="0" fontId="3" fillId="0" borderId="56" xfId="0" applyFont="1" applyFill="1" applyBorder="1" applyAlignment="1" applyProtection="1">
      <alignment horizontal="center" vertical="center"/>
    </xf>
    <xf numFmtId="0" fontId="3" fillId="0" borderId="32" xfId="0" applyFont="1" applyFill="1" applyBorder="1" applyProtection="1">
      <alignment vertical="center"/>
    </xf>
    <xf numFmtId="0" fontId="3" fillId="0" borderId="49" xfId="0" applyFont="1" applyFill="1" applyBorder="1" applyAlignment="1" applyProtection="1">
      <alignment horizontal="center" vertical="center"/>
    </xf>
    <xf numFmtId="38" fontId="80" fillId="0" borderId="54" xfId="1" applyFont="1" applyFill="1" applyBorder="1">
      <alignment vertical="center"/>
    </xf>
    <xf numFmtId="38" fontId="80" fillId="0" borderId="55" xfId="1" applyFont="1" applyFill="1" applyBorder="1">
      <alignment vertical="center"/>
    </xf>
    <xf numFmtId="38" fontId="80" fillId="0" borderId="54" xfId="1" applyFont="1" applyFill="1" applyBorder="1" applyAlignment="1">
      <alignment horizontal="center" vertical="center"/>
    </xf>
    <xf numFmtId="182" fontId="80" fillId="0" borderId="54" xfId="1" applyNumberFormat="1" applyFont="1" applyFill="1" applyBorder="1">
      <alignment vertical="center"/>
    </xf>
    <xf numFmtId="38" fontId="27" fillId="0" borderId="49" xfId="1" applyFont="1" applyFill="1" applyBorder="1">
      <alignment vertical="center"/>
    </xf>
    <xf numFmtId="38" fontId="13" fillId="0" borderId="49" xfId="1" applyFont="1" applyFill="1" applyBorder="1" applyAlignment="1">
      <alignment horizontal="center" vertical="center"/>
    </xf>
    <xf numFmtId="38" fontId="27" fillId="0" borderId="49" xfId="1" applyFont="1" applyFill="1" applyBorder="1" applyAlignment="1">
      <alignment horizontal="center" vertical="center"/>
    </xf>
    <xf numFmtId="38" fontId="81" fillId="0" borderId="0" xfId="1" applyFont="1" applyFill="1">
      <alignment vertical="center"/>
    </xf>
    <xf numFmtId="38" fontId="81" fillId="0" borderId="32" xfId="1" applyFont="1" applyFill="1" applyBorder="1">
      <alignment vertical="center"/>
    </xf>
    <xf numFmtId="38" fontId="81" fillId="0" borderId="32" xfId="1" applyFont="1" applyFill="1" applyBorder="1" applyAlignment="1">
      <alignment horizontal="center" vertical="center"/>
    </xf>
    <xf numFmtId="38" fontId="27" fillId="0" borderId="32" xfId="1" applyFont="1" applyFill="1" applyBorder="1">
      <alignment vertical="center"/>
    </xf>
    <xf numFmtId="38" fontId="81" fillId="0" borderId="48" xfId="1" applyFont="1" applyFill="1" applyBorder="1" applyAlignment="1">
      <alignment horizontal="center" vertical="center" shrinkToFit="1"/>
    </xf>
    <xf numFmtId="38" fontId="27" fillId="0" borderId="48" xfId="1" applyFont="1" applyFill="1" applyBorder="1">
      <alignment vertical="center"/>
    </xf>
    <xf numFmtId="38" fontId="81" fillId="0" borderId="0" xfId="1" applyFont="1" applyFill="1" applyAlignment="1">
      <alignment vertical="center" shrinkToFit="1"/>
    </xf>
    <xf numFmtId="38" fontId="27" fillId="0" borderId="0" xfId="1" applyFont="1" applyFill="1">
      <alignment vertical="center"/>
    </xf>
    <xf numFmtId="38" fontId="81" fillId="0" borderId="55" xfId="1" applyFont="1" applyFill="1" applyBorder="1" applyAlignment="1">
      <alignment horizontal="center" vertical="center"/>
    </xf>
    <xf numFmtId="38" fontId="81" fillId="0" borderId="48" xfId="1" applyFont="1" applyFill="1" applyBorder="1" applyAlignment="1">
      <alignment vertical="center" shrinkToFit="1"/>
    </xf>
    <xf numFmtId="38" fontId="81" fillId="0" borderId="57" xfId="1" applyFont="1" applyFill="1" applyBorder="1" applyAlignment="1">
      <alignment horizontal="center" vertical="center"/>
    </xf>
    <xf numFmtId="38" fontId="81" fillId="0" borderId="49" xfId="1" applyFont="1" applyFill="1" applyBorder="1">
      <alignment vertical="center"/>
    </xf>
    <xf numFmtId="38" fontId="81" fillId="0" borderId="0" xfId="1" applyFont="1" applyFill="1" applyBorder="1" applyAlignment="1">
      <alignment vertical="center" shrinkToFit="1"/>
    </xf>
    <xf numFmtId="38" fontId="27" fillId="0" borderId="0" xfId="1" applyFont="1" applyFill="1" applyBorder="1">
      <alignment vertical="center"/>
    </xf>
    <xf numFmtId="38" fontId="81" fillId="0" borderId="49" xfId="1" applyFont="1" applyFill="1" applyBorder="1" applyAlignment="1">
      <alignment horizontal="center" vertical="center"/>
    </xf>
    <xf numFmtId="38" fontId="81" fillId="0" borderId="55" xfId="1" applyFont="1" applyFill="1" applyBorder="1">
      <alignment vertical="center"/>
    </xf>
    <xf numFmtId="38" fontId="81" fillId="0" borderId="0" xfId="1" applyFont="1" applyFill="1" applyAlignment="1">
      <alignment horizontal="center" vertical="center"/>
    </xf>
    <xf numFmtId="38" fontId="81" fillId="0" borderId="23" xfId="1" applyFont="1" applyFill="1" applyBorder="1">
      <alignment vertical="center"/>
    </xf>
    <xf numFmtId="38" fontId="74" fillId="0" borderId="54" xfId="1" applyFont="1" applyFill="1" applyBorder="1">
      <alignment vertical="center"/>
    </xf>
    <xf numFmtId="38" fontId="15" fillId="5" borderId="31" xfId="1" applyFont="1" applyFill="1" applyBorder="1" applyProtection="1">
      <alignment vertical="center"/>
    </xf>
    <xf numFmtId="38" fontId="3" fillId="5" borderId="31" xfId="1" applyFont="1" applyFill="1" applyBorder="1" applyAlignment="1" applyProtection="1">
      <alignment vertical="center" shrinkToFit="1"/>
    </xf>
    <xf numFmtId="38" fontId="15" fillId="5" borderId="14" xfId="1" applyFont="1" applyFill="1" applyBorder="1" applyAlignment="1" applyProtection="1">
      <alignment vertical="center" shrinkToFit="1"/>
    </xf>
    <xf numFmtId="38" fontId="3" fillId="5" borderId="15" xfId="1" applyFont="1" applyFill="1" applyBorder="1" applyProtection="1">
      <alignment vertical="center"/>
    </xf>
    <xf numFmtId="38" fontId="9" fillId="5" borderId="31" xfId="1" applyFont="1" applyFill="1" applyBorder="1" applyAlignment="1" applyProtection="1">
      <alignment vertical="center" shrinkToFit="1"/>
    </xf>
    <xf numFmtId="38" fontId="3" fillId="5" borderId="0" xfId="1" applyFont="1" applyFill="1" applyBorder="1" applyProtection="1">
      <alignment vertical="center"/>
    </xf>
    <xf numFmtId="38" fontId="3" fillId="5" borderId="0" xfId="1" applyFont="1" applyFill="1" applyBorder="1" applyAlignment="1" applyProtection="1">
      <alignment vertical="center" shrinkToFit="1"/>
    </xf>
    <xf numFmtId="38" fontId="15" fillId="5" borderId="0" xfId="1" applyFont="1" applyFill="1" applyBorder="1" applyProtection="1">
      <alignment vertical="center"/>
    </xf>
    <xf numFmtId="0" fontId="3" fillId="3" borderId="0" xfId="0" applyFont="1" applyFill="1" applyBorder="1" applyProtection="1">
      <alignment vertical="center"/>
    </xf>
    <xf numFmtId="38" fontId="3" fillId="3" borderId="31" xfId="1" applyFont="1" applyFill="1" applyBorder="1" applyAlignment="1" applyProtection="1">
      <alignment vertical="center" shrinkToFit="1"/>
    </xf>
    <xf numFmtId="38" fontId="9" fillId="3" borderId="31" xfId="1" applyFont="1" applyFill="1" applyBorder="1" applyAlignment="1" applyProtection="1">
      <alignment vertical="center" shrinkToFit="1"/>
    </xf>
    <xf numFmtId="0" fontId="3" fillId="6" borderId="0" xfId="0" applyFont="1" applyFill="1" applyBorder="1" applyProtection="1">
      <alignment vertical="center"/>
    </xf>
    <xf numFmtId="38" fontId="3" fillId="6" borderId="28" xfId="1" applyFont="1" applyFill="1" applyBorder="1" applyProtection="1">
      <alignment vertical="center"/>
    </xf>
    <xf numFmtId="38" fontId="78" fillId="6" borderId="31" xfId="1" applyFont="1" applyFill="1" applyBorder="1">
      <alignment vertical="center"/>
    </xf>
    <xf numFmtId="38" fontId="3" fillId="6" borderId="31" xfId="1" applyFont="1" applyFill="1" applyBorder="1" applyAlignment="1" applyProtection="1">
      <alignment vertical="center" shrinkToFit="1"/>
    </xf>
    <xf numFmtId="38" fontId="3" fillId="6" borderId="15" xfId="1" applyFont="1" applyFill="1" applyBorder="1" applyProtection="1">
      <alignment vertical="center"/>
    </xf>
    <xf numFmtId="38" fontId="9" fillId="6" borderId="31" xfId="1" applyFont="1" applyFill="1" applyBorder="1" applyAlignment="1" applyProtection="1">
      <alignment vertical="center" shrinkToFit="1"/>
    </xf>
    <xf numFmtId="38" fontId="16" fillId="6" borderId="14" xfId="1" applyFont="1" applyFill="1" applyBorder="1" applyProtection="1">
      <alignment vertical="center"/>
    </xf>
    <xf numFmtId="38" fontId="3" fillId="6" borderId="14" xfId="1" applyFont="1" applyFill="1" applyBorder="1" applyAlignment="1" applyProtection="1">
      <alignment vertical="center" shrinkToFit="1"/>
    </xf>
    <xf numFmtId="38" fontId="8" fillId="5" borderId="14" xfId="1" applyFont="1" applyFill="1" applyBorder="1" applyAlignment="1" applyProtection="1">
      <alignment vertical="center" shrinkToFit="1"/>
    </xf>
    <xf numFmtId="38" fontId="8" fillId="3" borderId="14" xfId="1" applyFont="1" applyFill="1" applyBorder="1" applyAlignment="1" applyProtection="1">
      <alignment vertical="center" shrinkToFit="1"/>
    </xf>
    <xf numFmtId="38" fontId="27" fillId="5" borderId="32" xfId="1" applyFont="1" applyFill="1" applyBorder="1">
      <alignment vertical="center"/>
    </xf>
    <xf numFmtId="38" fontId="27" fillId="5" borderId="48" xfId="1" applyFont="1" applyFill="1" applyBorder="1">
      <alignment vertical="center"/>
    </xf>
    <xf numFmtId="0" fontId="3" fillId="5" borderId="54" xfId="0" applyFont="1" applyFill="1" applyBorder="1" applyAlignment="1" applyProtection="1">
      <alignment horizontal="center" vertical="center"/>
    </xf>
    <xf numFmtId="38" fontId="74" fillId="5" borderId="0" xfId="1" applyFont="1" applyFill="1">
      <alignment vertical="center"/>
    </xf>
    <xf numFmtId="0" fontId="3" fillId="5" borderId="55" xfId="0" applyFont="1" applyFill="1" applyBorder="1" applyAlignment="1" applyProtection="1">
      <alignment horizontal="center" vertical="center"/>
    </xf>
    <xf numFmtId="38" fontId="80" fillId="5" borderId="55" xfId="1" applyFont="1" applyFill="1" applyBorder="1">
      <alignment vertical="center"/>
    </xf>
    <xf numFmtId="38" fontId="27" fillId="5" borderId="49" xfId="1" applyFont="1" applyFill="1" applyBorder="1">
      <alignment vertical="center"/>
    </xf>
    <xf numFmtId="0" fontId="3" fillId="5" borderId="49" xfId="0" applyFont="1" applyFill="1" applyBorder="1" applyProtection="1">
      <alignment vertical="center"/>
    </xf>
    <xf numFmtId="38" fontId="81" fillId="5" borderId="55" xfId="1" applyFont="1" applyFill="1" applyBorder="1" applyAlignment="1">
      <alignment horizontal="center" vertical="center"/>
    </xf>
    <xf numFmtId="0" fontId="3" fillId="5" borderId="48" xfId="0" applyFont="1" applyFill="1" applyBorder="1" applyProtection="1">
      <alignment vertical="center"/>
    </xf>
    <xf numFmtId="0" fontId="3" fillId="5" borderId="56" xfId="0" applyFont="1" applyFill="1" applyBorder="1" applyAlignment="1" applyProtection="1">
      <alignment horizontal="center" vertical="center"/>
    </xf>
    <xf numFmtId="38" fontId="81" fillId="5" borderId="56" xfId="1" applyFont="1" applyFill="1" applyBorder="1">
      <alignment vertical="center"/>
    </xf>
    <xf numFmtId="0" fontId="3" fillId="6" borderId="0" xfId="0" applyFont="1" applyFill="1" applyBorder="1" applyAlignment="1" applyProtection="1">
      <alignment vertical="center" shrinkToFit="1"/>
    </xf>
    <xf numFmtId="38" fontId="80" fillId="3" borderId="31" xfId="1" applyFont="1" applyFill="1" applyBorder="1">
      <alignment vertical="center"/>
    </xf>
    <xf numFmtId="38" fontId="80" fillId="3" borderId="14" xfId="1" applyFont="1" applyFill="1" applyBorder="1">
      <alignment vertical="center"/>
    </xf>
    <xf numFmtId="38" fontId="15" fillId="3" borderId="14" xfId="1" applyFont="1" applyFill="1" applyBorder="1" applyAlignment="1" applyProtection="1">
      <alignment vertical="center" shrinkToFit="1"/>
    </xf>
    <xf numFmtId="38" fontId="9" fillId="3" borderId="0" xfId="1" applyFont="1" applyFill="1" applyBorder="1" applyProtection="1">
      <alignment vertical="center"/>
    </xf>
    <xf numFmtId="38" fontId="3" fillId="3" borderId="0" xfId="1" applyFont="1" applyFill="1" applyBorder="1" applyProtection="1">
      <alignment vertical="center"/>
    </xf>
    <xf numFmtId="38" fontId="3" fillId="3" borderId="0" xfId="1" applyFont="1" applyFill="1" applyBorder="1" applyAlignment="1" applyProtection="1">
      <alignment vertical="center" shrinkToFit="1"/>
    </xf>
    <xf numFmtId="38" fontId="26" fillId="3" borderId="0" xfId="1" applyFont="1" applyFill="1" applyBorder="1" applyProtection="1">
      <alignment vertical="center"/>
    </xf>
    <xf numFmtId="38" fontId="3" fillId="3" borderId="15" xfId="1" applyFont="1" applyFill="1" applyBorder="1" applyAlignment="1" applyProtection="1">
      <alignment vertical="center" shrinkToFit="1"/>
    </xf>
    <xf numFmtId="38" fontId="9" fillId="3" borderId="15" xfId="1" applyFont="1" applyFill="1" applyBorder="1" applyAlignment="1" applyProtection="1">
      <alignment vertical="center" shrinkToFit="1"/>
    </xf>
    <xf numFmtId="38" fontId="15" fillId="3" borderId="58" xfId="1" applyFont="1" applyFill="1" applyBorder="1" applyAlignment="1" applyProtection="1">
      <alignment vertical="center" shrinkToFit="1"/>
    </xf>
    <xf numFmtId="38" fontId="80" fillId="3" borderId="14" xfId="1" applyFont="1" applyFill="1" applyBorder="1" applyAlignment="1">
      <alignment horizontal="center" vertical="center"/>
    </xf>
    <xf numFmtId="38" fontId="78" fillId="6" borderId="14" xfId="1" applyFont="1" applyFill="1" applyBorder="1">
      <alignment vertical="center"/>
    </xf>
    <xf numFmtId="0" fontId="3" fillId="7" borderId="0" xfId="0" applyFont="1" applyFill="1" applyBorder="1" applyProtection="1">
      <alignment vertical="center"/>
    </xf>
    <xf numFmtId="49" fontId="9" fillId="7" borderId="0" xfId="1" applyNumberFormat="1" applyFont="1" applyFill="1" applyBorder="1" applyProtection="1">
      <alignment vertical="center"/>
    </xf>
    <xf numFmtId="38" fontId="3" fillId="7" borderId="28" xfId="1" applyFont="1" applyFill="1" applyBorder="1" applyProtection="1">
      <alignment vertical="center"/>
    </xf>
    <xf numFmtId="38" fontId="15" fillId="7" borderId="31" xfId="1" applyFont="1" applyFill="1" applyBorder="1" applyProtection="1">
      <alignment vertical="center"/>
    </xf>
    <xf numFmtId="38" fontId="3" fillId="7" borderId="31" xfId="1" applyFont="1" applyFill="1" applyBorder="1" applyAlignment="1" applyProtection="1">
      <alignment vertical="center" shrinkToFit="1"/>
    </xf>
    <xf numFmtId="38" fontId="3" fillId="7" borderId="15" xfId="1" applyFont="1" applyFill="1" applyBorder="1" applyProtection="1">
      <alignment vertical="center"/>
    </xf>
    <xf numFmtId="38" fontId="9" fillId="7" borderId="31" xfId="1" applyFont="1" applyFill="1" applyBorder="1" applyAlignment="1" applyProtection="1">
      <alignment vertical="center" shrinkToFit="1"/>
    </xf>
    <xf numFmtId="38" fontId="15" fillId="7" borderId="14" xfId="1" applyFont="1" applyFill="1" applyBorder="1" applyAlignment="1" applyProtection="1">
      <alignment vertical="center" shrinkToFit="1"/>
    </xf>
    <xf numFmtId="38" fontId="3" fillId="7" borderId="0" xfId="1" applyFont="1" applyFill="1" applyBorder="1" applyProtection="1">
      <alignment vertical="center"/>
    </xf>
    <xf numFmtId="38" fontId="3" fillId="7" borderId="0" xfId="1" applyFont="1" applyFill="1" applyBorder="1" applyAlignment="1" applyProtection="1">
      <alignment vertical="center" shrinkToFit="1"/>
    </xf>
    <xf numFmtId="38" fontId="84" fillId="0" borderId="0" xfId="1" applyFont="1" applyFill="1" applyBorder="1" applyAlignment="1" applyProtection="1">
      <alignment horizontal="center" vertical="center"/>
    </xf>
    <xf numFmtId="49" fontId="3" fillId="3" borderId="0" xfId="0" applyNumberFormat="1" applyFont="1" applyFill="1" applyBorder="1" applyProtection="1">
      <alignment vertical="center"/>
    </xf>
    <xf numFmtId="49" fontId="3" fillId="7" borderId="0" xfId="0" applyNumberFormat="1" applyFont="1" applyFill="1" applyBorder="1" applyProtection="1">
      <alignment vertical="center"/>
    </xf>
    <xf numFmtId="38" fontId="9" fillId="3" borderId="0" xfId="1" applyFont="1" applyFill="1" applyBorder="1" applyAlignment="1" applyProtection="1">
      <alignment horizontal="center" vertical="center"/>
    </xf>
    <xf numFmtId="180" fontId="26" fillId="3" borderId="0" xfId="1" applyNumberFormat="1" applyFont="1" applyFill="1" applyBorder="1" applyAlignment="1" applyProtection="1">
      <alignment horizontal="center" vertical="center" wrapText="1"/>
    </xf>
    <xf numFmtId="38" fontId="49" fillId="3" borderId="0" xfId="1" applyFont="1" applyFill="1" applyBorder="1" applyProtection="1">
      <alignment vertical="center"/>
    </xf>
    <xf numFmtId="38" fontId="15" fillId="3" borderId="31" xfId="1" applyFont="1" applyFill="1" applyBorder="1" applyProtection="1">
      <alignment vertical="center"/>
    </xf>
    <xf numFmtId="38" fontId="10" fillId="3" borderId="0" xfId="1" applyFont="1" applyFill="1" applyBorder="1" applyAlignment="1" applyProtection="1">
      <alignment horizontal="left" vertical="center"/>
    </xf>
    <xf numFmtId="38" fontId="80" fillId="5" borderId="31" xfId="1" applyFont="1" applyFill="1" applyBorder="1">
      <alignment vertical="center"/>
    </xf>
    <xf numFmtId="38" fontId="80" fillId="5" borderId="14" xfId="1" applyFont="1" applyFill="1" applyBorder="1">
      <alignment vertical="center"/>
    </xf>
    <xf numFmtId="0" fontId="3" fillId="5" borderId="0" xfId="0" applyFont="1" applyFill="1" applyBorder="1" applyProtection="1">
      <alignment vertical="center"/>
    </xf>
    <xf numFmtId="38" fontId="9" fillId="5" borderId="0" xfId="1" applyFont="1" applyFill="1" applyBorder="1" applyProtection="1">
      <alignment vertical="center"/>
    </xf>
    <xf numFmtId="38" fontId="81" fillId="5" borderId="0" xfId="1" applyFont="1" applyFill="1">
      <alignment vertical="center"/>
    </xf>
    <xf numFmtId="38" fontId="76" fillId="5" borderId="0" xfId="1" applyFont="1" applyFill="1" applyBorder="1" applyAlignment="1" applyProtection="1">
      <alignment horizontal="center" vertical="center"/>
    </xf>
    <xf numFmtId="180" fontId="26" fillId="5" borderId="0" xfId="1" applyNumberFormat="1" applyFont="1" applyFill="1" applyBorder="1" applyAlignment="1" applyProtection="1">
      <alignment horizontal="center" vertical="center" wrapText="1"/>
    </xf>
    <xf numFmtId="38" fontId="49" fillId="5" borderId="0" xfId="1" applyFont="1" applyFill="1" applyBorder="1" applyProtection="1">
      <alignment vertical="center"/>
    </xf>
    <xf numFmtId="38" fontId="26" fillId="5" borderId="0" xfId="1" applyFont="1" applyFill="1" applyBorder="1" applyProtection="1">
      <alignment vertical="center"/>
    </xf>
    <xf numFmtId="38" fontId="86" fillId="7" borderId="0" xfId="1" applyFont="1" applyFill="1" applyBorder="1" applyProtection="1">
      <alignment vertical="center"/>
    </xf>
    <xf numFmtId="38" fontId="26" fillId="7" borderId="0" xfId="1" applyFont="1" applyFill="1" applyBorder="1" applyProtection="1">
      <alignment vertical="center"/>
    </xf>
    <xf numFmtId="38" fontId="86" fillId="7" borderId="0" xfId="1" applyFont="1" applyFill="1" applyBorder="1" applyAlignment="1" applyProtection="1">
      <alignment horizontal="left" vertical="center"/>
    </xf>
    <xf numFmtId="38" fontId="9" fillId="7" borderId="0" xfId="1" applyFont="1" applyFill="1" applyBorder="1" applyProtection="1">
      <alignment vertical="center"/>
    </xf>
    <xf numFmtId="38" fontId="80" fillId="7" borderId="31" xfId="1" applyFont="1" applyFill="1" applyBorder="1">
      <alignment vertical="center"/>
    </xf>
    <xf numFmtId="38" fontId="80" fillId="7" borderId="14" xfId="1" applyFont="1" applyFill="1" applyBorder="1">
      <alignment vertical="center"/>
    </xf>
    <xf numFmtId="38" fontId="3" fillId="7" borderId="15" xfId="1" applyFont="1" applyFill="1" applyBorder="1" applyAlignment="1" applyProtection="1">
      <alignment vertical="center" shrinkToFit="1"/>
    </xf>
    <xf numFmtId="180" fontId="26" fillId="7" borderId="0" xfId="1" applyNumberFormat="1" applyFont="1" applyFill="1" applyBorder="1" applyAlignment="1" applyProtection="1">
      <alignment horizontal="center" vertical="center" wrapText="1"/>
    </xf>
    <xf numFmtId="38" fontId="9" fillId="7" borderId="15" xfId="1" applyFont="1" applyFill="1" applyBorder="1" applyAlignment="1" applyProtection="1">
      <alignment vertical="center" shrinkToFit="1"/>
    </xf>
    <xf numFmtId="38" fontId="15" fillId="7" borderId="58" xfId="1" applyFont="1" applyFill="1" applyBorder="1" applyAlignment="1" applyProtection="1">
      <alignment vertical="center" shrinkToFit="1"/>
    </xf>
    <xf numFmtId="38" fontId="8" fillId="7" borderId="14" xfId="1" applyFont="1" applyFill="1" applyBorder="1" applyAlignment="1" applyProtection="1">
      <alignment vertical="center" shrinkToFit="1"/>
    </xf>
    <xf numFmtId="38" fontId="80" fillId="7" borderId="14" xfId="1" applyFont="1" applyFill="1" applyBorder="1" applyAlignment="1">
      <alignment horizontal="center" vertical="center"/>
    </xf>
    <xf numFmtId="38" fontId="15" fillId="7" borderId="0" xfId="1" applyFont="1" applyFill="1" applyBorder="1" applyProtection="1">
      <alignment vertical="center"/>
    </xf>
    <xf numFmtId="0" fontId="3" fillId="7" borderId="0" xfId="0" applyFont="1" applyFill="1" applyBorder="1" applyAlignment="1" applyProtection="1">
      <alignment vertical="center" shrinkToFit="1"/>
    </xf>
    <xf numFmtId="38" fontId="84" fillId="7" borderId="0" xfId="1" applyFont="1" applyFill="1" applyBorder="1" applyAlignment="1" applyProtection="1">
      <alignment horizontal="center" vertical="center"/>
    </xf>
    <xf numFmtId="0" fontId="0" fillId="0" borderId="0" xfId="0" applyFill="1" applyBorder="1" applyAlignment="1">
      <alignment vertical="center"/>
    </xf>
    <xf numFmtId="38" fontId="10" fillId="0" borderId="0" xfId="1" applyFont="1" applyFill="1" applyBorder="1" applyAlignment="1" applyProtection="1">
      <alignment horizontal="left" vertical="center"/>
    </xf>
    <xf numFmtId="38" fontId="86" fillId="0" borderId="0" xfId="1" applyFont="1" applyFill="1" applyBorder="1" applyAlignment="1" applyProtection="1">
      <alignment horizontal="left" vertical="center"/>
    </xf>
    <xf numFmtId="38" fontId="3" fillId="5" borderId="21" xfId="1" applyFont="1" applyFill="1" applyBorder="1" applyAlignment="1" applyProtection="1">
      <alignment vertical="center" shrinkToFit="1"/>
    </xf>
    <xf numFmtId="38" fontId="3" fillId="5" borderId="40" xfId="1" applyFont="1" applyFill="1" applyBorder="1" applyAlignment="1" applyProtection="1">
      <alignment vertical="center" shrinkToFit="1"/>
    </xf>
    <xf numFmtId="0" fontId="3" fillId="5" borderId="43" xfId="0" applyFont="1" applyFill="1" applyBorder="1" applyProtection="1">
      <alignment vertical="center"/>
    </xf>
    <xf numFmtId="38" fontId="3" fillId="5" borderId="51" xfId="1" applyFont="1" applyFill="1" applyBorder="1" applyProtection="1">
      <alignment vertical="center"/>
    </xf>
    <xf numFmtId="38" fontId="15" fillId="5" borderId="16" xfId="1" applyFont="1" applyFill="1" applyBorder="1" applyProtection="1">
      <alignment vertical="center"/>
    </xf>
    <xf numFmtId="38" fontId="3" fillId="5" borderId="13" xfId="1" applyFont="1" applyFill="1" applyBorder="1" applyProtection="1">
      <alignment vertical="center"/>
    </xf>
    <xf numFmtId="38" fontId="3" fillId="5" borderId="16" xfId="1" applyFont="1" applyFill="1" applyBorder="1" applyAlignment="1" applyProtection="1">
      <alignment vertical="center" shrinkToFit="1"/>
    </xf>
    <xf numFmtId="38" fontId="3" fillId="5" borderId="43" xfId="1" applyFont="1" applyFill="1" applyBorder="1" applyProtection="1">
      <alignment vertical="center"/>
    </xf>
    <xf numFmtId="38" fontId="3" fillId="5" borderId="4" xfId="1" applyFont="1" applyFill="1" applyBorder="1" applyAlignment="1" applyProtection="1">
      <alignment vertical="center" shrinkToFit="1"/>
    </xf>
    <xf numFmtId="38" fontId="3" fillId="5" borderId="26" xfId="1" applyFont="1" applyFill="1" applyBorder="1" applyProtection="1">
      <alignment vertical="center"/>
    </xf>
    <xf numFmtId="38" fontId="15" fillId="5" borderId="37" xfId="1" applyFont="1" applyFill="1" applyBorder="1" applyProtection="1">
      <alignment vertical="center"/>
    </xf>
    <xf numFmtId="38" fontId="3" fillId="5" borderId="37" xfId="1" applyFont="1" applyFill="1" applyBorder="1" applyAlignment="1" applyProtection="1">
      <alignment vertical="center" shrinkToFit="1"/>
    </xf>
    <xf numFmtId="38" fontId="3" fillId="5" borderId="59" xfId="1" applyFont="1" applyFill="1" applyBorder="1" applyAlignment="1" applyProtection="1">
      <alignment vertical="center" shrinkToFit="1"/>
    </xf>
    <xf numFmtId="38" fontId="3" fillId="3" borderId="21" xfId="1" applyFont="1" applyFill="1" applyBorder="1" applyAlignment="1" applyProtection="1">
      <alignment vertical="center" shrinkToFit="1"/>
    </xf>
    <xf numFmtId="38" fontId="3" fillId="3" borderId="40" xfId="1" applyFont="1" applyFill="1" applyBorder="1" applyAlignment="1" applyProtection="1">
      <alignment vertical="center" shrinkToFit="1"/>
    </xf>
    <xf numFmtId="49" fontId="3" fillId="3" borderId="43" xfId="0" applyNumberFormat="1" applyFont="1" applyFill="1" applyBorder="1" applyProtection="1">
      <alignment vertical="center"/>
    </xf>
    <xf numFmtId="38" fontId="8" fillId="3" borderId="52" xfId="1" applyFont="1" applyFill="1" applyBorder="1" applyAlignment="1" applyProtection="1">
      <alignment vertical="center" shrinkToFit="1"/>
    </xf>
    <xf numFmtId="38" fontId="15" fillId="3" borderId="16" xfId="1" applyFont="1" applyFill="1" applyBorder="1" applyAlignment="1" applyProtection="1">
      <alignment vertical="center" shrinkToFit="1"/>
    </xf>
    <xf numFmtId="38" fontId="3" fillId="3" borderId="43" xfId="1" applyFont="1" applyFill="1" applyBorder="1" applyProtection="1">
      <alignment vertical="center"/>
    </xf>
    <xf numFmtId="38" fontId="10" fillId="3" borderId="43" xfId="1" applyFont="1" applyFill="1" applyBorder="1" applyAlignment="1" applyProtection="1">
      <alignment horizontal="left" vertical="center"/>
    </xf>
    <xf numFmtId="38" fontId="3" fillId="3" borderId="4" xfId="1" applyFont="1" applyFill="1" applyBorder="1" applyAlignment="1" applyProtection="1">
      <alignment vertical="center" shrinkToFit="1"/>
    </xf>
    <xf numFmtId="38" fontId="9" fillId="3" borderId="4" xfId="1" applyFont="1" applyFill="1" applyBorder="1" applyProtection="1">
      <alignment vertical="center"/>
    </xf>
    <xf numFmtId="38" fontId="3" fillId="3" borderId="24" xfId="1" applyFont="1" applyFill="1" applyBorder="1" applyProtection="1">
      <alignment vertical="center"/>
    </xf>
    <xf numFmtId="38" fontId="3" fillId="3" borderId="12" xfId="1" applyFont="1" applyFill="1" applyBorder="1" applyProtection="1">
      <alignment vertical="center"/>
    </xf>
    <xf numFmtId="38" fontId="3" fillId="3" borderId="12" xfId="1" applyFont="1" applyFill="1" applyBorder="1" applyAlignment="1" applyProtection="1">
      <alignment vertical="center" shrinkToFit="1"/>
    </xf>
    <xf numFmtId="38" fontId="3" fillId="7" borderId="21" xfId="1" applyFont="1" applyFill="1" applyBorder="1" applyAlignment="1" applyProtection="1">
      <alignment vertical="center" shrinkToFit="1"/>
    </xf>
    <xf numFmtId="38" fontId="3" fillId="7" borderId="40" xfId="1" applyFont="1" applyFill="1" applyBorder="1" applyAlignment="1" applyProtection="1">
      <alignment vertical="center" shrinkToFit="1"/>
    </xf>
    <xf numFmtId="49" fontId="3" fillId="7" borderId="43" xfId="0" applyNumberFormat="1" applyFont="1" applyFill="1" applyBorder="1" applyProtection="1">
      <alignment vertical="center"/>
    </xf>
    <xf numFmtId="38" fontId="3" fillId="7" borderId="51" xfId="1" applyFont="1" applyFill="1" applyBorder="1" applyProtection="1">
      <alignment vertical="center"/>
    </xf>
    <xf numFmtId="38" fontId="15" fillId="7" borderId="16" xfId="1" applyFont="1" applyFill="1" applyBorder="1" applyProtection="1">
      <alignment vertical="center"/>
    </xf>
    <xf numFmtId="38" fontId="3" fillId="7" borderId="13" xfId="1" applyFont="1" applyFill="1" applyBorder="1" applyProtection="1">
      <alignment vertical="center"/>
    </xf>
    <xf numFmtId="38" fontId="8" fillId="7" borderId="52" xfId="1" applyFont="1" applyFill="1" applyBorder="1" applyAlignment="1" applyProtection="1">
      <alignment vertical="center" shrinkToFit="1"/>
    </xf>
    <xf numFmtId="38" fontId="15" fillId="7" borderId="16" xfId="1" applyFont="1" applyFill="1" applyBorder="1" applyAlignment="1" applyProtection="1">
      <alignment vertical="center" shrinkToFit="1"/>
    </xf>
    <xf numFmtId="38" fontId="3" fillId="7" borderId="43" xfId="1" applyFont="1" applyFill="1" applyBorder="1" applyProtection="1">
      <alignment vertical="center"/>
    </xf>
    <xf numFmtId="38" fontId="86" fillId="7" borderId="43" xfId="1" applyFont="1" applyFill="1" applyBorder="1" applyAlignment="1" applyProtection="1">
      <alignment horizontal="left" vertical="center"/>
    </xf>
    <xf numFmtId="38" fontId="3" fillId="7" borderId="4" xfId="1" applyFont="1" applyFill="1" applyBorder="1" applyAlignment="1" applyProtection="1">
      <alignment vertical="center" shrinkToFit="1"/>
    </xf>
    <xf numFmtId="49" fontId="3" fillId="0" borderId="0" xfId="0" applyNumberFormat="1" applyFont="1" applyFill="1" applyBorder="1" applyProtection="1">
      <alignment vertical="center"/>
    </xf>
    <xf numFmtId="38" fontId="3" fillId="0" borderId="31" xfId="1" applyFont="1" applyFill="1" applyBorder="1" applyAlignment="1" applyProtection="1">
      <alignment horizontal="left" vertical="center"/>
    </xf>
    <xf numFmtId="38" fontId="3" fillId="0" borderId="14" xfId="1" applyFont="1" applyFill="1" applyBorder="1" applyAlignment="1" applyProtection="1">
      <alignment horizontal="left" vertical="center"/>
    </xf>
    <xf numFmtId="38" fontId="9" fillId="0" borderId="31" xfId="1" applyFont="1" applyFill="1" applyBorder="1" applyProtection="1">
      <alignment vertical="center"/>
    </xf>
    <xf numFmtId="49" fontId="3" fillId="0" borderId="60" xfId="1" applyNumberFormat="1" applyFont="1" applyFill="1" applyBorder="1" applyProtection="1">
      <alignment vertical="center"/>
    </xf>
    <xf numFmtId="38" fontId="25" fillId="0" borderId="61" xfId="1" applyFont="1" applyFill="1" applyBorder="1" applyProtection="1">
      <alignment vertical="center"/>
    </xf>
    <xf numFmtId="38" fontId="3" fillId="0" borderId="61" xfId="1" applyFont="1" applyFill="1" applyBorder="1" applyProtection="1">
      <alignment vertical="center"/>
    </xf>
    <xf numFmtId="0" fontId="3" fillId="0" borderId="61" xfId="0" applyFont="1" applyFill="1" applyBorder="1" applyProtection="1">
      <alignment vertical="center"/>
    </xf>
    <xf numFmtId="0" fontId="3" fillId="0" borderId="62" xfId="0" applyFont="1" applyFill="1" applyBorder="1" applyProtection="1">
      <alignment vertical="center"/>
    </xf>
    <xf numFmtId="0" fontId="3" fillId="0" borderId="47" xfId="0" applyFont="1" applyFill="1" applyBorder="1" applyProtection="1">
      <alignment vertical="center"/>
    </xf>
    <xf numFmtId="38" fontId="3" fillId="0" borderId="63" xfId="1" applyFont="1" applyFill="1" applyBorder="1" applyProtection="1">
      <alignment vertical="center"/>
    </xf>
    <xf numFmtId="38" fontId="3" fillId="0" borderId="64" xfId="1" applyFont="1" applyFill="1" applyBorder="1" applyProtection="1">
      <alignment vertical="center"/>
    </xf>
    <xf numFmtId="38" fontId="3" fillId="0" borderId="65" xfId="1" applyFont="1" applyFill="1" applyBorder="1" applyProtection="1">
      <alignment vertical="center"/>
    </xf>
    <xf numFmtId="38" fontId="10" fillId="0" borderId="65" xfId="1" applyFont="1" applyFill="1" applyBorder="1" applyAlignment="1" applyProtection="1">
      <alignment horizontal="left" vertical="center"/>
    </xf>
    <xf numFmtId="38" fontId="3" fillId="0" borderId="66" xfId="1" applyFont="1" applyFill="1" applyBorder="1" applyProtection="1">
      <alignment vertical="center"/>
    </xf>
    <xf numFmtId="38" fontId="3" fillId="0" borderId="67" xfId="1" applyFont="1" applyFill="1" applyBorder="1" applyProtection="1">
      <alignment vertical="center"/>
    </xf>
    <xf numFmtId="0" fontId="3" fillId="0" borderId="67" xfId="0" applyFont="1" applyFill="1" applyBorder="1" applyProtection="1">
      <alignment vertical="center"/>
    </xf>
    <xf numFmtId="0" fontId="3" fillId="0" borderId="68" xfId="0" applyFont="1" applyFill="1" applyBorder="1" applyProtection="1">
      <alignment vertical="center"/>
    </xf>
    <xf numFmtId="38" fontId="3" fillId="0" borderId="60" xfId="1" applyFont="1" applyFill="1" applyBorder="1" applyProtection="1">
      <alignment vertical="center"/>
    </xf>
    <xf numFmtId="38" fontId="3" fillId="0" borderId="62" xfId="1" applyFont="1" applyFill="1" applyBorder="1" applyProtection="1">
      <alignment vertical="center"/>
    </xf>
    <xf numFmtId="38" fontId="15" fillId="0" borderId="69" xfId="1" applyFont="1" applyFill="1" applyBorder="1" applyProtection="1">
      <alignment vertical="center"/>
    </xf>
    <xf numFmtId="38" fontId="3" fillId="0" borderId="69" xfId="1" applyFont="1" applyFill="1" applyBorder="1" applyProtection="1">
      <alignment vertical="center"/>
    </xf>
    <xf numFmtId="38" fontId="3" fillId="0" borderId="47" xfId="1" applyFont="1" applyFill="1" applyBorder="1" applyProtection="1">
      <alignment vertical="center"/>
    </xf>
    <xf numFmtId="38" fontId="86" fillId="0" borderId="65" xfId="1" applyFont="1" applyFill="1" applyBorder="1" applyAlignment="1" applyProtection="1">
      <alignment horizontal="left" vertical="center"/>
    </xf>
    <xf numFmtId="38" fontId="3" fillId="0" borderId="68" xfId="1" applyFont="1" applyFill="1" applyBorder="1" applyProtection="1">
      <alignment vertical="center"/>
    </xf>
    <xf numFmtId="38" fontId="8" fillId="0" borderId="17" xfId="1" applyFont="1" applyFill="1" applyBorder="1" applyAlignment="1" applyProtection="1">
      <alignment vertical="center" shrinkToFit="1"/>
    </xf>
    <xf numFmtId="0" fontId="76" fillId="0" borderId="0" xfId="0" applyFont="1" applyFill="1" applyBorder="1" applyAlignment="1" applyProtection="1">
      <alignment horizontal="center" vertical="center"/>
    </xf>
    <xf numFmtId="38" fontId="8" fillId="3" borderId="4" xfId="1" applyFont="1" applyFill="1" applyBorder="1" applyAlignment="1" applyProtection="1">
      <alignment horizontal="center" vertical="center" shrinkToFit="1"/>
    </xf>
    <xf numFmtId="38" fontId="8" fillId="3" borderId="25" xfId="1" applyFont="1" applyFill="1" applyBorder="1" applyAlignment="1" applyProtection="1">
      <alignment horizontal="center" vertical="center" shrinkToFit="1"/>
    </xf>
    <xf numFmtId="38" fontId="8" fillId="7" borderId="4" xfId="1" applyFont="1" applyFill="1" applyBorder="1" applyAlignment="1" applyProtection="1">
      <alignment horizontal="center" vertical="center" shrinkToFit="1"/>
    </xf>
    <xf numFmtId="38" fontId="8" fillId="7" borderId="0" xfId="1" applyFont="1" applyFill="1" applyBorder="1" applyProtection="1">
      <alignment vertical="center"/>
    </xf>
    <xf numFmtId="38" fontId="88" fillId="5" borderId="0" xfId="1" applyFont="1" applyFill="1" applyAlignment="1">
      <alignment horizontal="center" vertical="center"/>
    </xf>
    <xf numFmtId="38" fontId="89" fillId="5" borderId="0" xfId="1" applyFont="1" applyFill="1" applyAlignment="1">
      <alignment horizontal="center" vertical="center"/>
    </xf>
    <xf numFmtId="38" fontId="15" fillId="0" borderId="40" xfId="1" applyFont="1" applyFill="1" applyBorder="1" applyProtection="1">
      <alignment vertical="center"/>
    </xf>
    <xf numFmtId="38" fontId="8" fillId="0" borderId="7" xfId="1" applyFont="1" applyFill="1" applyBorder="1" applyProtection="1">
      <alignment vertical="center"/>
    </xf>
    <xf numFmtId="38" fontId="3" fillId="0" borderId="4" xfId="1" applyFont="1" applyFill="1" applyBorder="1" applyProtection="1">
      <alignment vertical="center"/>
    </xf>
    <xf numFmtId="38" fontId="3" fillId="0" borderId="70" xfId="1" applyFont="1" applyFill="1" applyBorder="1" applyProtection="1">
      <alignment vertical="center"/>
    </xf>
    <xf numFmtId="38" fontId="15" fillId="0" borderId="71" xfId="1" applyFont="1" applyFill="1" applyBorder="1" applyProtection="1">
      <alignment vertical="center"/>
    </xf>
    <xf numFmtId="38" fontId="3" fillId="0" borderId="72" xfId="1" applyFont="1" applyFill="1" applyBorder="1" applyProtection="1">
      <alignment vertical="center"/>
    </xf>
    <xf numFmtId="38" fontId="15" fillId="0" borderId="73" xfId="1" applyFont="1" applyFill="1" applyBorder="1" applyProtection="1">
      <alignment vertical="center"/>
    </xf>
    <xf numFmtId="38" fontId="15" fillId="0" borderId="9" xfId="1" applyFont="1" applyFill="1" applyBorder="1" applyAlignment="1" applyProtection="1">
      <alignment horizontal="center" vertical="center"/>
    </xf>
    <xf numFmtId="38" fontId="15" fillId="0" borderId="11" xfId="1" applyFont="1" applyFill="1" applyBorder="1" applyAlignment="1" applyProtection="1">
      <alignment horizontal="center" vertical="center"/>
    </xf>
    <xf numFmtId="38" fontId="15" fillId="0" borderId="14" xfId="1" applyFont="1" applyFill="1" applyBorder="1" applyAlignment="1" applyProtection="1">
      <alignment horizontal="center" vertical="center"/>
    </xf>
    <xf numFmtId="38" fontId="15" fillId="0" borderId="16" xfId="1" applyFont="1" applyFill="1" applyBorder="1" applyAlignment="1" applyProtection="1">
      <alignment horizontal="center" vertical="center"/>
    </xf>
    <xf numFmtId="38" fontId="15" fillId="0" borderId="27" xfId="1" applyFont="1" applyFill="1" applyBorder="1" applyAlignment="1" applyProtection="1">
      <alignment horizontal="center" vertical="center"/>
    </xf>
    <xf numFmtId="38" fontId="9" fillId="6" borderId="0" xfId="1" applyFont="1" applyFill="1" applyBorder="1" applyProtection="1">
      <alignment vertical="center"/>
    </xf>
    <xf numFmtId="38" fontId="3" fillId="6" borderId="0" xfId="1" applyFont="1" applyFill="1" applyBorder="1" applyProtection="1">
      <alignment vertical="center"/>
    </xf>
    <xf numFmtId="38" fontId="3" fillId="6" borderId="0" xfId="1" applyFont="1" applyFill="1" applyBorder="1" applyAlignment="1" applyProtection="1">
      <alignment vertical="center" shrinkToFit="1"/>
    </xf>
    <xf numFmtId="38" fontId="49" fillId="8" borderId="74" xfId="1" applyFont="1" applyFill="1" applyBorder="1" applyAlignment="1" applyProtection="1">
      <alignment horizontal="center" vertical="center"/>
    </xf>
    <xf numFmtId="38" fontId="15" fillId="0" borderId="0" xfId="1" applyFont="1" applyFill="1" applyBorder="1" applyAlignment="1" applyProtection="1">
      <alignment horizontal="center" vertical="center"/>
    </xf>
    <xf numFmtId="38" fontId="15" fillId="0" borderId="75" xfId="1" applyFont="1" applyFill="1" applyBorder="1" applyAlignment="1" applyProtection="1">
      <alignment horizontal="center" vertical="center"/>
    </xf>
    <xf numFmtId="38" fontId="3" fillId="0" borderId="35" xfId="1" applyFont="1" applyFill="1" applyBorder="1" applyAlignment="1" applyProtection="1">
      <alignment horizontal="center" vertical="center"/>
    </xf>
    <xf numFmtId="38" fontId="3" fillId="0" borderId="23" xfId="1" applyFont="1" applyFill="1" applyBorder="1" applyProtection="1">
      <alignment vertical="center"/>
    </xf>
    <xf numFmtId="38" fontId="5" fillId="0" borderId="23" xfId="1" applyFont="1" applyFill="1" applyBorder="1" applyAlignment="1" applyProtection="1">
      <alignment horizontal="left" vertical="center"/>
    </xf>
    <xf numFmtId="38" fontId="15" fillId="0" borderId="23" xfId="1" applyFont="1" applyFill="1" applyBorder="1" applyProtection="1">
      <alignment vertical="center"/>
    </xf>
    <xf numFmtId="38" fontId="3" fillId="0" borderId="34" xfId="1" applyFont="1" applyFill="1" applyBorder="1" applyProtection="1">
      <alignment vertical="center"/>
    </xf>
    <xf numFmtId="38" fontId="15" fillId="0" borderId="25" xfId="1" applyFont="1" applyFill="1" applyBorder="1" applyProtection="1">
      <alignment vertical="center"/>
    </xf>
    <xf numFmtId="38" fontId="15" fillId="0" borderId="76" xfId="1" applyFont="1" applyFill="1" applyBorder="1" applyAlignment="1" applyProtection="1">
      <alignment horizontal="center" vertical="center"/>
    </xf>
    <xf numFmtId="38" fontId="15" fillId="0" borderId="77" xfId="1" applyFont="1" applyFill="1" applyBorder="1" applyAlignment="1" applyProtection="1">
      <alignment horizontal="center" vertical="center"/>
    </xf>
    <xf numFmtId="38" fontId="15" fillId="0" borderId="7" xfId="1" applyFont="1" applyFill="1" applyBorder="1" applyProtection="1">
      <alignment vertical="center"/>
    </xf>
    <xf numFmtId="38" fontId="15" fillId="0" borderId="19" xfId="1" applyFont="1" applyFill="1" applyBorder="1" applyAlignment="1" applyProtection="1">
      <alignment horizontal="center" vertical="center"/>
    </xf>
    <xf numFmtId="38" fontId="18" fillId="0" borderId="23" xfId="1" applyFont="1" applyFill="1" applyBorder="1" applyProtection="1">
      <alignment vertical="center"/>
    </xf>
    <xf numFmtId="38" fontId="15" fillId="0" borderId="78" xfId="1" applyFont="1" applyFill="1" applyBorder="1" applyAlignment="1" applyProtection="1">
      <alignment horizontal="center" vertical="center"/>
    </xf>
    <xf numFmtId="38" fontId="15" fillId="0" borderId="79" xfId="1" applyFont="1" applyFill="1" applyBorder="1" applyAlignment="1" applyProtection="1">
      <alignment horizontal="center" vertical="center"/>
    </xf>
    <xf numFmtId="180" fontId="21" fillId="0" borderId="80" xfId="1" applyNumberFormat="1" applyFont="1" applyFill="1" applyBorder="1" applyAlignment="1" applyProtection="1">
      <alignment horizontal="center" vertical="center" wrapText="1"/>
    </xf>
    <xf numFmtId="38" fontId="18" fillId="0" borderId="81" xfId="1" applyFont="1" applyFill="1" applyBorder="1" applyAlignment="1" applyProtection="1">
      <alignment horizontal="center" vertical="center"/>
    </xf>
    <xf numFmtId="38" fontId="18" fillId="0" borderId="82" xfId="1" applyFont="1" applyFill="1" applyBorder="1" applyAlignment="1" applyProtection="1">
      <alignment horizontal="center" vertical="center"/>
    </xf>
    <xf numFmtId="38" fontId="18" fillId="0" borderId="83" xfId="1" applyFont="1" applyFill="1" applyBorder="1" applyAlignment="1" applyProtection="1">
      <alignment horizontal="center" vertical="center"/>
    </xf>
    <xf numFmtId="38" fontId="18" fillId="0" borderId="84" xfId="1" applyFont="1" applyFill="1" applyBorder="1" applyAlignment="1" applyProtection="1">
      <alignment horizontal="center" vertical="center"/>
    </xf>
    <xf numFmtId="38" fontId="91" fillId="0" borderId="85" xfId="1" applyFont="1" applyFill="1" applyBorder="1" applyAlignment="1" applyProtection="1">
      <alignment horizontal="center" vertical="center"/>
    </xf>
    <xf numFmtId="38" fontId="91" fillId="0" borderId="84" xfId="1" applyFont="1" applyFill="1" applyBorder="1" applyAlignment="1" applyProtection="1">
      <alignment horizontal="center" vertical="center"/>
    </xf>
    <xf numFmtId="38" fontId="0" fillId="0" borderId="0" xfId="1" applyFont="1">
      <alignment vertical="center"/>
    </xf>
    <xf numFmtId="38" fontId="0" fillId="0" borderId="0" xfId="1" applyFont="1" applyAlignment="1"/>
    <xf numFmtId="38" fontId="94" fillId="0" borderId="0" xfId="1" applyFont="1">
      <alignment vertical="center"/>
    </xf>
    <xf numFmtId="38" fontId="0" fillId="0" borderId="0" xfId="1" applyFont="1" applyAlignment="1">
      <alignment horizontal="center" vertical="center"/>
    </xf>
    <xf numFmtId="38" fontId="92" fillId="0" borderId="86" xfId="1" applyFont="1" applyBorder="1" applyAlignment="1">
      <alignment vertical="center" shrinkToFit="1"/>
    </xf>
    <xf numFmtId="38" fontId="1" fillId="9" borderId="87" xfId="1" applyFont="1" applyFill="1" applyBorder="1" applyAlignment="1">
      <alignment vertical="center" shrinkToFit="1"/>
    </xf>
    <xf numFmtId="38" fontId="92" fillId="0" borderId="87" xfId="1" applyFont="1" applyBorder="1" applyAlignment="1">
      <alignment horizontal="right" vertical="center" shrinkToFit="1"/>
    </xf>
    <xf numFmtId="38" fontId="94" fillId="0" borderId="0" xfId="1" applyFont="1" applyBorder="1" applyAlignment="1">
      <alignment horizontal="right" vertical="center" shrinkToFit="1"/>
    </xf>
    <xf numFmtId="38" fontId="94" fillId="0" borderId="88" xfId="1" applyFont="1" applyBorder="1">
      <alignment vertical="center"/>
    </xf>
    <xf numFmtId="38" fontId="94" fillId="0" borderId="89" xfId="1" applyFont="1" applyBorder="1">
      <alignment vertical="center"/>
    </xf>
    <xf numFmtId="38" fontId="94" fillId="0" borderId="90" xfId="1" applyFont="1" applyBorder="1">
      <alignment vertical="center"/>
    </xf>
    <xf numFmtId="38" fontId="94" fillId="0" borderId="0" xfId="1" applyFont="1" applyBorder="1" applyAlignment="1">
      <alignment horizontal="center" vertical="center"/>
    </xf>
    <xf numFmtId="38" fontId="94" fillId="0" borderId="0" xfId="1" applyFont="1" applyBorder="1" applyAlignment="1">
      <alignment horizontal="right" vertical="center"/>
    </xf>
    <xf numFmtId="38" fontId="94" fillId="0" borderId="0" xfId="1" applyFont="1" applyBorder="1">
      <alignment vertical="center"/>
    </xf>
    <xf numFmtId="38" fontId="0" fillId="0" borderId="91" xfId="1" applyFont="1" applyBorder="1">
      <alignment vertical="center"/>
    </xf>
    <xf numFmtId="38" fontId="94" fillId="0" borderId="91" xfId="1" applyFont="1" applyBorder="1" applyAlignment="1">
      <alignment horizontal="left" vertical="top"/>
    </xf>
    <xf numFmtId="38" fontId="93" fillId="0" borderId="0" xfId="1" applyFont="1" applyAlignment="1"/>
    <xf numFmtId="38" fontId="0" fillId="0" borderId="92" xfId="1" applyFont="1" applyBorder="1">
      <alignment vertical="center"/>
    </xf>
    <xf numFmtId="38" fontId="93" fillId="0" borderId="0" xfId="1" applyFont="1" applyAlignment="1">
      <alignment vertical="top"/>
    </xf>
    <xf numFmtId="0" fontId="63" fillId="0" borderId="0" xfId="0" applyFont="1" applyFill="1" applyAlignment="1" applyProtection="1">
      <alignment vertical="center"/>
    </xf>
    <xf numFmtId="0" fontId="63" fillId="0" borderId="0" xfId="0" applyFont="1" applyFill="1" applyBorder="1" applyAlignment="1" applyProtection="1">
      <alignment vertical="center"/>
    </xf>
    <xf numFmtId="0" fontId="123" fillId="0" borderId="297" xfId="0" applyFont="1" applyFill="1" applyBorder="1" applyAlignment="1" applyProtection="1">
      <alignment vertical="center"/>
    </xf>
    <xf numFmtId="0" fontId="98" fillId="0" borderId="298" xfId="0" applyFont="1" applyFill="1" applyBorder="1" applyAlignment="1" applyProtection="1">
      <alignment vertical="center" shrinkToFit="1"/>
    </xf>
    <xf numFmtId="0" fontId="98" fillId="0" borderId="299" xfId="0" applyFont="1" applyFill="1" applyBorder="1" applyAlignment="1" applyProtection="1">
      <alignment horizontal="left" vertical="center" shrinkToFit="1"/>
    </xf>
    <xf numFmtId="0" fontId="124" fillId="0" borderId="93" xfId="0" applyFont="1" applyFill="1" applyBorder="1" applyAlignment="1" applyProtection="1">
      <alignment horizontal="left" vertical="center"/>
    </xf>
    <xf numFmtId="38" fontId="36" fillId="0" borderId="70" xfId="0" applyNumberFormat="1" applyFont="1" applyFill="1" applyBorder="1" applyAlignment="1" applyProtection="1">
      <alignment horizontal="center" vertical="center" wrapText="1"/>
    </xf>
    <xf numFmtId="0" fontId="3" fillId="0" borderId="70" xfId="0" applyFont="1" applyFill="1" applyBorder="1" applyProtection="1">
      <alignment vertical="center"/>
    </xf>
    <xf numFmtId="0" fontId="3" fillId="0" borderId="71" xfId="0" applyFont="1" applyFill="1" applyBorder="1" applyAlignment="1" applyProtection="1">
      <alignment horizontal="center" vertical="center"/>
    </xf>
    <xf numFmtId="0" fontId="36" fillId="0" borderId="94" xfId="0" applyFont="1" applyFill="1" applyBorder="1" applyAlignment="1" applyProtection="1">
      <alignment horizontal="center" vertical="center"/>
    </xf>
    <xf numFmtId="0" fontId="36" fillId="0" borderId="72" xfId="0" applyFont="1" applyFill="1" applyBorder="1" applyAlignment="1" applyProtection="1">
      <alignment horizontal="center" vertical="center"/>
    </xf>
    <xf numFmtId="0" fontId="3" fillId="0" borderId="72" xfId="0" applyFont="1" applyFill="1" applyBorder="1" applyProtection="1">
      <alignment vertical="center"/>
    </xf>
    <xf numFmtId="38" fontId="3" fillId="0" borderId="73" xfId="0" applyNumberFormat="1" applyFont="1" applyFill="1" applyBorder="1" applyProtection="1">
      <alignment vertical="center"/>
    </xf>
    <xf numFmtId="0" fontId="36" fillId="0" borderId="95" xfId="0" applyFont="1" applyFill="1" applyBorder="1" applyAlignment="1" applyProtection="1">
      <alignment horizontal="center" vertical="center"/>
    </xf>
    <xf numFmtId="0" fontId="36" fillId="0" borderId="96" xfId="0" applyFont="1" applyFill="1" applyBorder="1" applyAlignment="1" applyProtection="1">
      <alignment horizontal="center" vertical="center"/>
    </xf>
    <xf numFmtId="0" fontId="3" fillId="0" borderId="96" xfId="0" applyFont="1" applyFill="1" applyBorder="1" applyProtection="1">
      <alignment vertical="center"/>
    </xf>
    <xf numFmtId="0" fontId="3" fillId="0" borderId="97" xfId="0" applyFont="1" applyFill="1" applyBorder="1" applyProtection="1">
      <alignment vertical="center"/>
    </xf>
    <xf numFmtId="38" fontId="101" fillId="0" borderId="0" xfId="1" applyFont="1" applyAlignment="1">
      <alignment vertical="center"/>
    </xf>
    <xf numFmtId="38" fontId="0" fillId="0" borderId="12" xfId="1" applyFont="1" applyBorder="1" applyAlignment="1"/>
    <xf numFmtId="38" fontId="83" fillId="0" borderId="12" xfId="1" applyFont="1" applyBorder="1" applyAlignment="1"/>
    <xf numFmtId="38" fontId="101" fillId="0" borderId="98" xfId="1" applyFont="1" applyBorder="1" applyAlignment="1">
      <alignment vertical="center"/>
    </xf>
    <xf numFmtId="38" fontId="101" fillId="0" borderId="99" xfId="1" applyFont="1" applyBorder="1" applyAlignment="1">
      <alignment vertical="center"/>
    </xf>
    <xf numFmtId="38" fontId="101" fillId="0" borderId="100" xfId="1" applyFont="1" applyBorder="1" applyAlignment="1">
      <alignment vertical="center"/>
    </xf>
    <xf numFmtId="38" fontId="0" fillId="0" borderId="24" xfId="1" applyFont="1" applyBorder="1">
      <alignment vertical="center"/>
    </xf>
    <xf numFmtId="38" fontId="0" fillId="0" borderId="12" xfId="1" applyFont="1" applyBorder="1">
      <alignment vertical="center"/>
    </xf>
    <xf numFmtId="38" fontId="0" fillId="0" borderId="25" xfId="1" applyFont="1" applyBorder="1">
      <alignment vertical="center"/>
    </xf>
    <xf numFmtId="38" fontId="101" fillId="0" borderId="101" xfId="1" applyFont="1" applyBorder="1" applyAlignment="1">
      <alignment vertical="center"/>
    </xf>
    <xf numFmtId="38" fontId="0" fillId="0" borderId="102" xfId="1" applyFont="1" applyBorder="1">
      <alignment vertical="center"/>
    </xf>
    <xf numFmtId="38" fontId="101" fillId="0" borderId="0" xfId="1" applyFont="1">
      <alignment vertical="center"/>
    </xf>
    <xf numFmtId="38" fontId="104" fillId="0" borderId="0" xfId="1" applyFont="1">
      <alignment vertical="center"/>
    </xf>
    <xf numFmtId="38" fontId="93" fillId="0" borderId="86" xfId="1" applyFont="1" applyFill="1" applyBorder="1" applyAlignment="1">
      <alignment vertical="center"/>
    </xf>
    <xf numFmtId="38" fontId="102" fillId="0" borderId="0" xfId="1" applyFont="1" applyBorder="1" applyAlignment="1">
      <alignment horizontal="center" vertical="center"/>
    </xf>
    <xf numFmtId="38" fontId="44" fillId="0" borderId="0" xfId="1" applyFont="1" applyBorder="1" applyAlignment="1">
      <alignment horizontal="center" vertical="center"/>
    </xf>
    <xf numFmtId="38" fontId="103" fillId="0" borderId="0" xfId="1" applyFont="1">
      <alignment vertical="center"/>
    </xf>
    <xf numFmtId="38" fontId="96" fillId="0" borderId="0" xfId="1" applyFont="1">
      <alignment vertical="center"/>
    </xf>
    <xf numFmtId="38" fontId="125" fillId="0" borderId="300" xfId="1" applyFont="1" applyFill="1" applyBorder="1" applyAlignment="1" applyProtection="1">
      <alignment vertical="center" shrinkToFit="1"/>
      <protection locked="0"/>
    </xf>
    <xf numFmtId="38" fontId="125" fillId="0" borderId="301" xfId="1" applyFont="1" applyFill="1" applyBorder="1" applyAlignment="1" applyProtection="1">
      <alignment horizontal="right" vertical="center" shrinkToFit="1"/>
      <protection locked="0"/>
    </xf>
    <xf numFmtId="0" fontId="107" fillId="0" borderId="24" xfId="0" applyFont="1" applyFill="1" applyBorder="1" applyProtection="1">
      <alignment vertical="center"/>
    </xf>
    <xf numFmtId="0" fontId="107" fillId="0" borderId="43" xfId="0" applyFont="1" applyFill="1" applyBorder="1" applyProtection="1">
      <alignment vertical="center"/>
    </xf>
    <xf numFmtId="0" fontId="126" fillId="0" borderId="0" xfId="0" applyFont="1" applyFill="1" applyBorder="1">
      <alignment vertical="center"/>
    </xf>
    <xf numFmtId="0" fontId="126" fillId="0" borderId="0" xfId="0" applyFont="1" applyFill="1" applyBorder="1" applyAlignment="1">
      <alignment horizontal="center" vertical="center"/>
    </xf>
    <xf numFmtId="0" fontId="127" fillId="0" borderId="0" xfId="0" applyFont="1" applyFill="1" applyBorder="1">
      <alignment vertical="center"/>
    </xf>
    <xf numFmtId="0" fontId="127" fillId="0" borderId="0" xfId="0" applyFont="1" applyFill="1" applyBorder="1" applyAlignment="1">
      <alignment horizontal="center" vertical="center"/>
    </xf>
    <xf numFmtId="0" fontId="127" fillId="0" borderId="32" xfId="0" applyFont="1" applyFill="1" applyBorder="1" applyAlignment="1">
      <alignment horizontal="center" vertical="center" wrapText="1"/>
    </xf>
    <xf numFmtId="0" fontId="127" fillId="0" borderId="32" xfId="0" applyFont="1" applyFill="1" applyBorder="1" applyAlignment="1">
      <alignment vertical="center" wrapText="1"/>
    </xf>
    <xf numFmtId="38" fontId="127" fillId="10" borderId="7" xfId="1" applyFont="1" applyFill="1" applyBorder="1">
      <alignment vertical="center"/>
    </xf>
    <xf numFmtId="38" fontId="127" fillId="10" borderId="17" xfId="1" applyFont="1" applyFill="1" applyBorder="1">
      <alignment vertical="center"/>
    </xf>
    <xf numFmtId="0" fontId="128" fillId="0" borderId="0" xfId="0" applyFont="1" applyFill="1" applyBorder="1">
      <alignment vertical="center"/>
    </xf>
    <xf numFmtId="0" fontId="127" fillId="0" borderId="17" xfId="0" applyFont="1" applyFill="1" applyBorder="1" applyAlignment="1">
      <alignment horizontal="center" vertical="center"/>
    </xf>
    <xf numFmtId="0" fontId="129" fillId="0" borderId="103" xfId="0" applyFont="1" applyFill="1" applyBorder="1" applyProtection="1">
      <alignment vertical="center"/>
    </xf>
    <xf numFmtId="0" fontId="126" fillId="0" borderId="104" xfId="0" applyFont="1" applyFill="1" applyBorder="1">
      <alignment vertical="center"/>
    </xf>
    <xf numFmtId="0" fontId="126" fillId="0" borderId="105" xfId="0" applyFont="1" applyFill="1" applyBorder="1">
      <alignment vertical="center"/>
    </xf>
    <xf numFmtId="0" fontId="129" fillId="0" borderId="106" xfId="0" applyFont="1" applyFill="1" applyBorder="1" applyProtection="1">
      <alignment vertical="center"/>
    </xf>
    <xf numFmtId="0" fontId="126" fillId="0" borderId="107" xfId="0" applyFont="1" applyFill="1" applyBorder="1">
      <alignment vertical="center"/>
    </xf>
    <xf numFmtId="0" fontId="129" fillId="0" borderId="108" xfId="0" applyFont="1" applyFill="1" applyBorder="1" applyProtection="1">
      <alignment vertical="center"/>
    </xf>
    <xf numFmtId="0" fontId="126" fillId="0" borderId="109" xfId="0" applyFont="1" applyFill="1" applyBorder="1">
      <alignment vertical="center"/>
    </xf>
    <xf numFmtId="0" fontId="126" fillId="0" borderId="110" xfId="0" applyFont="1" applyFill="1" applyBorder="1">
      <alignment vertical="center"/>
    </xf>
    <xf numFmtId="38" fontId="0" fillId="0" borderId="0" xfId="1" applyFont="1" applyProtection="1">
      <alignment vertical="center"/>
      <protection locked="0"/>
    </xf>
    <xf numFmtId="38" fontId="130" fillId="0" borderId="74" xfId="0" applyNumberFormat="1" applyFont="1" applyFill="1" applyBorder="1">
      <alignment vertical="center"/>
    </xf>
    <xf numFmtId="38" fontId="113" fillId="0" borderId="0" xfId="1" applyFont="1" applyProtection="1">
      <alignment vertical="center"/>
      <protection locked="0"/>
    </xf>
    <xf numFmtId="38" fontId="112" fillId="0" borderId="113" xfId="1" applyFont="1" applyBorder="1" applyProtection="1">
      <alignment vertical="center"/>
      <protection locked="0"/>
    </xf>
    <xf numFmtId="38" fontId="112" fillId="0" borderId="114" xfId="1" applyFont="1" applyBorder="1" applyAlignment="1" applyProtection="1">
      <alignment horizontal="right" vertical="center"/>
      <protection locked="0"/>
    </xf>
    <xf numFmtId="38" fontId="112" fillId="0" borderId="115" xfId="1" applyFont="1" applyBorder="1" applyAlignment="1" applyProtection="1">
      <alignment horizontal="right" vertical="center"/>
      <protection locked="0"/>
    </xf>
    <xf numFmtId="38" fontId="112" fillId="0" borderId="0" xfId="1" applyFont="1" applyProtection="1">
      <alignment vertical="center"/>
    </xf>
    <xf numFmtId="38" fontId="115" fillId="0" borderId="0" xfId="1" applyFont="1" applyProtection="1">
      <alignment vertical="center"/>
    </xf>
    <xf numFmtId="38" fontId="113" fillId="0" borderId="0" xfId="1" applyFont="1" applyProtection="1">
      <alignment vertical="center"/>
    </xf>
    <xf numFmtId="38" fontId="111" fillId="0" borderId="0" xfId="1" applyFont="1" applyProtection="1">
      <alignment vertical="center"/>
    </xf>
    <xf numFmtId="38" fontId="114" fillId="0" borderId="0" xfId="1" applyFont="1" applyAlignment="1" applyProtection="1">
      <alignment vertical="top"/>
    </xf>
    <xf numFmtId="38" fontId="111" fillId="0" borderId="116" xfId="1" applyFont="1" applyBorder="1" applyProtection="1">
      <alignment vertical="center"/>
    </xf>
    <xf numFmtId="38" fontId="111" fillId="0" borderId="117" xfId="1" applyFont="1" applyBorder="1" applyAlignment="1" applyProtection="1">
      <alignment vertical="center" shrinkToFit="1"/>
    </xf>
    <xf numFmtId="38" fontId="111" fillId="0" borderId="0" xfId="1" applyFont="1" applyBorder="1" applyAlignment="1" applyProtection="1">
      <alignment vertical="center" shrinkToFit="1"/>
    </xf>
    <xf numFmtId="38" fontId="111" fillId="0" borderId="0" xfId="1" applyFont="1" applyBorder="1" applyProtection="1">
      <alignment vertical="center"/>
    </xf>
    <xf numFmtId="0" fontId="112" fillId="0" borderId="0" xfId="0" applyFont="1" applyProtection="1">
      <alignment vertical="center"/>
    </xf>
    <xf numFmtId="38" fontId="112" fillId="0" borderId="0" xfId="1" applyFont="1" applyAlignment="1" applyProtection="1">
      <alignment horizontal="center" vertical="center"/>
    </xf>
    <xf numFmtId="38" fontId="112" fillId="0" borderId="0" xfId="1" applyFont="1" applyAlignment="1" applyProtection="1">
      <alignment horizontal="right" vertical="center"/>
    </xf>
    <xf numFmtId="38" fontId="112" fillId="0" borderId="0" xfId="1" applyFont="1" applyAlignment="1" applyProtection="1">
      <alignment horizontal="center" vertical="center" shrinkToFit="1"/>
    </xf>
    <xf numFmtId="38" fontId="112" fillId="11" borderId="118" xfId="1" applyFont="1" applyFill="1" applyBorder="1" applyAlignment="1" applyProtection="1">
      <alignment horizontal="center" vertical="center" shrinkToFit="1"/>
    </xf>
    <xf numFmtId="38" fontId="112" fillId="11" borderId="119" xfId="1" applyFont="1" applyFill="1" applyBorder="1" applyAlignment="1" applyProtection="1">
      <alignment horizontal="center" vertical="center" shrinkToFit="1"/>
    </xf>
    <xf numFmtId="38" fontId="112" fillId="11" borderId="120" xfId="1" applyFont="1" applyFill="1" applyBorder="1" applyAlignment="1" applyProtection="1">
      <alignment horizontal="center" vertical="center" shrinkToFit="1"/>
    </xf>
    <xf numFmtId="0" fontId="112" fillId="0" borderId="121" xfId="0" applyFont="1" applyFill="1" applyBorder="1" applyAlignment="1" applyProtection="1">
      <alignment horizontal="center" vertical="center"/>
    </xf>
    <xf numFmtId="0" fontId="112" fillId="12" borderId="122" xfId="0" applyFont="1" applyFill="1" applyBorder="1" applyAlignment="1" applyProtection="1">
      <alignment horizontal="center" vertical="center"/>
    </xf>
    <xf numFmtId="0" fontId="112" fillId="12" borderId="123" xfId="0" applyFont="1" applyFill="1" applyBorder="1" applyAlignment="1" applyProtection="1">
      <alignment horizontal="center" vertical="center"/>
    </xf>
    <xf numFmtId="38" fontId="112" fillId="0" borderId="121" xfId="1" applyFont="1" applyBorder="1" applyAlignment="1" applyProtection="1">
      <alignment horizontal="center" vertical="center" shrinkToFit="1"/>
    </xf>
    <xf numFmtId="38" fontId="112" fillId="9" borderId="125" xfId="1" applyFont="1" applyFill="1" applyBorder="1" applyAlignment="1" applyProtection="1">
      <alignment horizontal="center" vertical="center" shrinkToFit="1"/>
    </xf>
    <xf numFmtId="38" fontId="112" fillId="0" borderId="126" xfId="1" applyFont="1" applyBorder="1" applyProtection="1">
      <alignment vertical="center"/>
    </xf>
    <xf numFmtId="38" fontId="112" fillId="0" borderId="127" xfId="1" applyFont="1" applyBorder="1" applyProtection="1">
      <alignment vertical="center"/>
    </xf>
    <xf numFmtId="38" fontId="112" fillId="0" borderId="128" xfId="1" applyFont="1" applyBorder="1" applyProtection="1">
      <alignment vertical="center"/>
    </xf>
    <xf numFmtId="0" fontId="112" fillId="0" borderId="129" xfId="0" applyFont="1" applyBorder="1" applyProtection="1">
      <alignment vertical="center"/>
    </xf>
    <xf numFmtId="0" fontId="112" fillId="0" borderId="130" xfId="0" applyFont="1" applyBorder="1" applyProtection="1">
      <alignment vertical="center"/>
    </xf>
    <xf numFmtId="38" fontId="112" fillId="13" borderId="131" xfId="1" applyFont="1" applyFill="1" applyBorder="1" applyAlignment="1" applyProtection="1">
      <alignment horizontal="center" vertical="center"/>
    </xf>
    <xf numFmtId="38" fontId="112" fillId="0" borderId="89" xfId="1" applyFont="1" applyBorder="1" applyAlignment="1" applyProtection="1">
      <alignment horizontal="right" vertical="center"/>
    </xf>
    <xf numFmtId="0" fontId="112" fillId="0" borderId="126" xfId="0" applyFont="1" applyBorder="1" applyProtection="1">
      <alignment vertical="center"/>
    </xf>
    <xf numFmtId="0" fontId="112" fillId="0" borderId="127" xfId="0" applyFont="1" applyBorder="1" applyProtection="1">
      <alignment vertical="center"/>
    </xf>
    <xf numFmtId="183" fontId="112" fillId="0" borderId="127" xfId="0" applyNumberFormat="1" applyFont="1" applyBorder="1" applyAlignment="1" applyProtection="1">
      <alignment horizontal="right" vertical="center"/>
    </xf>
    <xf numFmtId="3" fontId="112" fillId="0" borderId="128" xfId="0" applyNumberFormat="1" applyFont="1" applyBorder="1" applyAlignment="1" applyProtection="1">
      <alignment horizontal="right" vertical="center"/>
    </xf>
    <xf numFmtId="38" fontId="112" fillId="13" borderId="132" xfId="1" applyFont="1" applyFill="1" applyBorder="1" applyAlignment="1" applyProtection="1">
      <alignment horizontal="center" vertical="center"/>
    </xf>
    <xf numFmtId="3" fontId="112" fillId="0" borderId="127" xfId="0" applyNumberFormat="1" applyFont="1" applyBorder="1" applyProtection="1">
      <alignment vertical="center"/>
    </xf>
    <xf numFmtId="49" fontId="112" fillId="0" borderId="128" xfId="0" applyNumberFormat="1" applyFont="1" applyBorder="1" applyAlignment="1" applyProtection="1">
      <alignment horizontal="right" vertical="center"/>
    </xf>
    <xf numFmtId="38" fontId="112" fillId="13" borderId="117" xfId="1" applyFont="1" applyFill="1" applyBorder="1" applyAlignment="1" applyProtection="1">
      <alignment horizontal="center" vertical="center"/>
    </xf>
    <xf numFmtId="38" fontId="112" fillId="0" borderId="90" xfId="1" applyFont="1" applyBorder="1" applyAlignment="1" applyProtection="1">
      <alignment horizontal="right" vertical="center"/>
    </xf>
    <xf numFmtId="38" fontId="112" fillId="14" borderId="133" xfId="1" applyFont="1" applyFill="1" applyBorder="1" applyAlignment="1" applyProtection="1">
      <alignment horizontal="center" vertical="center"/>
    </xf>
    <xf numFmtId="38" fontId="112" fillId="14" borderId="134" xfId="1" applyFont="1" applyFill="1" applyBorder="1" applyProtection="1">
      <alignment vertical="center"/>
    </xf>
    <xf numFmtId="38" fontId="112" fillId="14" borderId="135" xfId="1" applyFont="1" applyFill="1" applyBorder="1" applyAlignment="1" applyProtection="1">
      <alignment horizontal="right" vertical="center"/>
    </xf>
    <xf numFmtId="38" fontId="112" fillId="0" borderId="0" xfId="1" applyFont="1" applyAlignment="1" applyProtection="1">
      <alignment vertical="center"/>
    </xf>
    <xf numFmtId="38" fontId="112" fillId="0" borderId="136" xfId="1" applyFont="1" applyBorder="1" applyProtection="1">
      <alignment vertical="center"/>
    </xf>
    <xf numFmtId="38" fontId="112" fillId="0" borderId="137" xfId="1" applyFont="1" applyBorder="1" applyProtection="1">
      <alignment vertical="center"/>
    </xf>
    <xf numFmtId="38" fontId="112" fillId="0" borderId="138" xfId="1" applyFont="1" applyBorder="1" applyProtection="1">
      <alignment vertical="center"/>
    </xf>
    <xf numFmtId="0" fontId="112" fillId="0" borderId="137" xfId="0" applyFont="1" applyBorder="1" applyProtection="1">
      <alignment vertical="center"/>
    </xf>
    <xf numFmtId="38" fontId="112" fillId="0" borderId="5" xfId="1" applyFont="1" applyBorder="1" applyProtection="1">
      <alignment vertical="center"/>
    </xf>
    <xf numFmtId="38" fontId="112" fillId="12" borderId="121" xfId="1" applyFont="1" applyFill="1" applyBorder="1" applyProtection="1">
      <alignment vertical="center"/>
    </xf>
    <xf numFmtId="38" fontId="112" fillId="12" borderId="122" xfId="1" applyFont="1" applyFill="1" applyBorder="1" applyProtection="1">
      <alignment vertical="center"/>
    </xf>
    <xf numFmtId="38" fontId="112" fillId="12" borderId="123" xfId="1" applyFont="1" applyFill="1" applyBorder="1" applyProtection="1">
      <alignment vertical="center"/>
    </xf>
    <xf numFmtId="38" fontId="112" fillId="0" borderId="105" xfId="1" applyFont="1" applyBorder="1" applyAlignment="1" applyProtection="1">
      <alignment horizontal="center" vertical="center"/>
    </xf>
    <xf numFmtId="38" fontId="112" fillId="0" borderId="0" xfId="1" applyFont="1" applyBorder="1" applyAlignment="1" applyProtection="1">
      <alignment horizontal="center" vertical="center"/>
    </xf>
    <xf numFmtId="38" fontId="112" fillId="0" borderId="0" xfId="1" applyFont="1" applyBorder="1" applyAlignment="1" applyProtection="1">
      <alignment horizontal="left" vertical="center"/>
    </xf>
    <xf numFmtId="38" fontId="112" fillId="0" borderId="139" xfId="1" applyFont="1" applyBorder="1" applyAlignment="1" applyProtection="1">
      <alignment horizontal="center" vertical="center"/>
    </xf>
    <xf numFmtId="38" fontId="112" fillId="0" borderId="107" xfId="1" applyFont="1" applyBorder="1" applyProtection="1">
      <alignment vertical="center"/>
    </xf>
    <xf numFmtId="38" fontId="112" fillId="0" borderId="20" xfId="1" applyFont="1" applyBorder="1" applyProtection="1">
      <alignment vertical="center"/>
    </xf>
    <xf numFmtId="38" fontId="112" fillId="9" borderId="140" xfId="1" applyFont="1" applyFill="1" applyBorder="1" applyAlignment="1" applyProtection="1">
      <alignment vertical="center" shrinkToFit="1"/>
    </xf>
    <xf numFmtId="38" fontId="112" fillId="9" borderId="124" xfId="1" applyFont="1" applyFill="1" applyBorder="1" applyAlignment="1" applyProtection="1">
      <alignment vertical="center" shrinkToFit="1"/>
    </xf>
    <xf numFmtId="38" fontId="112" fillId="9" borderId="125" xfId="1" applyFont="1" applyFill="1" applyBorder="1" applyAlignment="1" applyProtection="1">
      <alignment vertical="center" shrinkToFit="1"/>
    </xf>
    <xf numFmtId="0" fontId="112" fillId="0" borderId="121" xfId="0" applyFont="1" applyBorder="1" applyAlignment="1" applyProtection="1">
      <alignment horizontal="center" vertical="center"/>
    </xf>
    <xf numFmtId="0" fontId="112" fillId="9" borderId="122" xfId="0" applyFont="1" applyFill="1" applyBorder="1" applyAlignment="1" applyProtection="1">
      <alignment horizontal="center" vertical="center"/>
    </xf>
    <xf numFmtId="0" fontId="112" fillId="9" borderId="123" xfId="0" applyFont="1" applyFill="1" applyBorder="1" applyAlignment="1" applyProtection="1">
      <alignment horizontal="center" vertical="center"/>
    </xf>
    <xf numFmtId="38" fontId="112" fillId="0" borderId="141" xfId="1" applyFont="1" applyBorder="1" applyAlignment="1" applyProtection="1">
      <alignment horizontal="center" vertical="center"/>
    </xf>
    <xf numFmtId="38" fontId="112" fillId="0" borderId="118" xfId="1" applyFont="1" applyFill="1" applyBorder="1" applyAlignment="1" applyProtection="1">
      <alignment vertical="center" shrinkToFit="1"/>
    </xf>
    <xf numFmtId="38" fontId="112" fillId="0" borderId="119" xfId="1" applyFont="1" applyFill="1" applyBorder="1" applyAlignment="1" applyProtection="1">
      <alignment vertical="center" shrinkToFit="1"/>
    </xf>
    <xf numFmtId="38" fontId="112" fillId="0" borderId="120" xfId="1" applyFont="1" applyFill="1" applyBorder="1" applyAlignment="1" applyProtection="1">
      <alignment vertical="center" shrinkToFit="1"/>
    </xf>
    <xf numFmtId="38" fontId="112" fillId="0" borderId="142" xfId="1" applyFont="1" applyBorder="1" applyAlignment="1" applyProtection="1">
      <alignment horizontal="left" vertical="center"/>
    </xf>
    <xf numFmtId="38" fontId="115" fillId="0" borderId="110" xfId="1" applyFont="1" applyBorder="1" applyAlignment="1" applyProtection="1">
      <alignment vertical="center"/>
    </xf>
    <xf numFmtId="38" fontId="112" fillId="0" borderId="107" xfId="1" applyFont="1" applyBorder="1" applyAlignment="1" applyProtection="1">
      <alignment horizontal="center" vertical="center"/>
    </xf>
    <xf numFmtId="9" fontId="112" fillId="0" borderId="127" xfId="0" applyNumberFormat="1" applyFont="1" applyBorder="1" applyProtection="1">
      <alignment vertical="center"/>
    </xf>
    <xf numFmtId="38" fontId="112" fillId="0" borderId="110" xfId="1" applyFont="1" applyBorder="1" applyAlignment="1" applyProtection="1">
      <alignment horizontal="left" vertical="center"/>
    </xf>
    <xf numFmtId="0" fontId="112" fillId="0" borderId="144" xfId="0" applyFont="1" applyBorder="1" applyProtection="1">
      <alignment vertical="center"/>
    </xf>
    <xf numFmtId="9" fontId="112" fillId="0" borderId="144" xfId="0" applyNumberFormat="1" applyFont="1" applyBorder="1" applyProtection="1">
      <alignment vertical="center"/>
    </xf>
    <xf numFmtId="38" fontId="112" fillId="0" borderId="145" xfId="1" applyFont="1" applyBorder="1" applyProtection="1">
      <alignment vertical="center"/>
    </xf>
    <xf numFmtId="38" fontId="112" fillId="0" borderId="0" xfId="1" applyFont="1" applyAlignment="1" applyProtection="1">
      <alignment horizontal="left" vertical="center"/>
    </xf>
    <xf numFmtId="9" fontId="112" fillId="0" borderId="137" xfId="0" applyNumberFormat="1" applyFont="1" applyBorder="1" applyProtection="1">
      <alignment vertical="center"/>
    </xf>
    <xf numFmtId="38" fontId="112" fillId="0" borderId="5" xfId="1" applyFont="1" applyBorder="1" applyAlignment="1" applyProtection="1">
      <alignment horizontal="center" vertical="center"/>
    </xf>
    <xf numFmtId="38" fontId="112" fillId="15" borderId="121" xfId="1" applyFont="1" applyFill="1" applyBorder="1" applyProtection="1">
      <alignment vertical="center"/>
    </xf>
    <xf numFmtId="38" fontId="112" fillId="15" borderId="122" xfId="1" applyFont="1" applyFill="1" applyBorder="1" applyProtection="1">
      <alignment vertical="center"/>
    </xf>
    <xf numFmtId="38" fontId="112" fillId="15" borderId="123" xfId="1" applyFont="1" applyFill="1" applyBorder="1" applyProtection="1">
      <alignment vertical="center"/>
    </xf>
    <xf numFmtId="38" fontId="112" fillId="0" borderId="5" xfId="1" applyFont="1" applyBorder="1" applyAlignment="1" applyProtection="1">
      <alignment horizontal="center" vertical="center" shrinkToFit="1"/>
    </xf>
    <xf numFmtId="38" fontId="112" fillId="0" borderId="121" xfId="1" applyFont="1" applyBorder="1" applyProtection="1">
      <alignment vertical="center"/>
    </xf>
    <xf numFmtId="38" fontId="112" fillId="0" borderId="122" xfId="1" applyFont="1" applyBorder="1" applyProtection="1">
      <alignment vertical="center"/>
    </xf>
    <xf numFmtId="38" fontId="112" fillId="0" borderId="123" xfId="1" applyFont="1" applyBorder="1" applyProtection="1">
      <alignment vertical="center"/>
    </xf>
    <xf numFmtId="38" fontId="112" fillId="0" borderId="0" xfId="1" applyFont="1" applyBorder="1" applyAlignment="1" applyProtection="1">
      <alignment horizontal="center" vertical="center" shrinkToFit="1"/>
    </xf>
    <xf numFmtId="38" fontId="112" fillId="0" borderId="0" xfId="1" applyFont="1" applyBorder="1" applyProtection="1">
      <alignment vertical="center"/>
    </xf>
    <xf numFmtId="38" fontId="112" fillId="0" borderId="116" xfId="1" applyFont="1" applyBorder="1" applyAlignment="1" applyProtection="1">
      <alignment vertical="center" shrinkToFit="1"/>
    </xf>
    <xf numFmtId="38" fontId="112" fillId="0" borderId="118" xfId="1" applyFont="1" applyBorder="1" applyProtection="1">
      <alignment vertical="center"/>
    </xf>
    <xf numFmtId="38" fontId="112" fillId="0" borderId="119" xfId="1" applyFont="1" applyBorder="1" applyProtection="1">
      <alignment vertical="center"/>
    </xf>
    <xf numFmtId="38" fontId="112" fillId="0" borderId="120" xfId="1" applyFont="1" applyBorder="1" applyProtection="1">
      <alignment vertical="center"/>
    </xf>
    <xf numFmtId="38" fontId="112" fillId="0" borderId="132" xfId="1" applyFont="1" applyBorder="1" applyAlignment="1" applyProtection="1">
      <alignment vertical="center" shrinkToFit="1"/>
    </xf>
    <xf numFmtId="0" fontId="112" fillId="0" borderId="0" xfId="1" applyNumberFormat="1" applyFont="1" applyProtection="1">
      <alignment vertical="center"/>
    </xf>
    <xf numFmtId="38" fontId="112" fillId="0" borderId="117" xfId="1" applyFont="1" applyBorder="1" applyAlignment="1" applyProtection="1">
      <alignment vertical="center" shrinkToFit="1"/>
    </xf>
    <xf numFmtId="38" fontId="112" fillId="0" borderId="6" xfId="1" applyFont="1" applyBorder="1" applyAlignment="1" applyProtection="1">
      <alignment vertical="center" shrinkToFit="1"/>
    </xf>
    <xf numFmtId="38" fontId="112" fillId="0" borderId="6" xfId="1" applyFont="1" applyBorder="1" applyProtection="1">
      <alignment vertical="center"/>
    </xf>
    <xf numFmtId="38" fontId="112" fillId="0" borderId="118" xfId="1" applyFont="1" applyFill="1" applyBorder="1" applyProtection="1">
      <alignment vertical="center"/>
    </xf>
    <xf numFmtId="38" fontId="112" fillId="0" borderId="119" xfId="1" applyFont="1" applyFill="1" applyBorder="1" applyProtection="1">
      <alignment vertical="center"/>
    </xf>
    <xf numFmtId="38" fontId="112" fillId="0" borderId="120" xfId="1" applyFont="1" applyFill="1" applyBorder="1" applyProtection="1">
      <alignment vertical="center"/>
    </xf>
    <xf numFmtId="38" fontId="111" fillId="0" borderId="0" xfId="1" applyFont="1" applyAlignment="1" applyProtection="1">
      <alignment horizontal="right" vertical="center"/>
    </xf>
    <xf numFmtId="38" fontId="112" fillId="0" borderId="118" xfId="1" applyFont="1" applyBorder="1" applyAlignment="1" applyProtection="1">
      <alignment vertical="center" shrinkToFit="1"/>
    </xf>
    <xf numFmtId="38" fontId="112" fillId="0" borderId="119" xfId="1" applyFont="1" applyBorder="1" applyAlignment="1" applyProtection="1">
      <alignment vertical="center" shrinkToFit="1"/>
    </xf>
    <xf numFmtId="38" fontId="112" fillId="0" borderId="146" xfId="1" applyFont="1" applyBorder="1" applyAlignment="1" applyProtection="1">
      <alignment vertical="center" shrinkToFit="1"/>
    </xf>
    <xf numFmtId="38" fontId="112" fillId="0" borderId="120" xfId="1" applyFont="1" applyBorder="1" applyAlignment="1" applyProtection="1">
      <alignment vertical="center" shrinkToFit="1"/>
    </xf>
    <xf numFmtId="38" fontId="112" fillId="0" borderId="118" xfId="1" applyFont="1" applyBorder="1" applyAlignment="1" applyProtection="1">
      <alignment horizontal="center" vertical="center"/>
    </xf>
    <xf numFmtId="38" fontId="112" fillId="0" borderId="119" xfId="1" applyFont="1" applyBorder="1" applyAlignment="1" applyProtection="1">
      <alignment horizontal="center" vertical="center"/>
    </xf>
    <xf numFmtId="38" fontId="112" fillId="0" borderId="120" xfId="1" applyFont="1" applyBorder="1" applyAlignment="1" applyProtection="1">
      <alignment horizontal="center" vertical="center"/>
    </xf>
    <xf numFmtId="38" fontId="112" fillId="0" borderId="147" xfId="1" applyFont="1" applyBorder="1" applyProtection="1">
      <alignment vertical="center"/>
    </xf>
    <xf numFmtId="38" fontId="115" fillId="0" borderId="74" xfId="1" applyFont="1" applyBorder="1" applyProtection="1">
      <alignment vertical="center"/>
    </xf>
    <xf numFmtId="38" fontId="120" fillId="0" borderId="0" xfId="1" applyFont="1" applyProtection="1">
      <alignment vertical="center"/>
    </xf>
    <xf numFmtId="38" fontId="119" fillId="0" borderId="0" xfId="1" applyFont="1" applyProtection="1">
      <alignment vertical="center"/>
    </xf>
    <xf numFmtId="38" fontId="120" fillId="0" borderId="0" xfId="1" applyFont="1" applyAlignment="1" applyProtection="1">
      <alignment horizontal="right" vertical="center"/>
    </xf>
    <xf numFmtId="38" fontId="120" fillId="0" borderId="0" xfId="1" applyFont="1" applyAlignment="1" applyProtection="1">
      <alignment horizontal="left" vertical="center"/>
    </xf>
    <xf numFmtId="38" fontId="111" fillId="0" borderId="111" xfId="1" applyFont="1" applyBorder="1" applyAlignment="1" applyProtection="1">
      <alignment horizontal="center" vertical="center"/>
    </xf>
    <xf numFmtId="38" fontId="111" fillId="0" borderId="112" xfId="1" applyFont="1" applyBorder="1" applyAlignment="1" applyProtection="1">
      <alignment horizontal="center" vertical="center"/>
    </xf>
    <xf numFmtId="0" fontId="112" fillId="0" borderId="140" xfId="0" applyFont="1" applyBorder="1" applyAlignment="1" applyProtection="1">
      <alignment horizontal="center" vertical="center"/>
    </xf>
    <xf numFmtId="0" fontId="112" fillId="0" borderId="143" xfId="0" applyFont="1" applyBorder="1" applyAlignment="1" applyProtection="1">
      <alignment horizontal="center" vertical="center"/>
    </xf>
    <xf numFmtId="0" fontId="112" fillId="0" borderId="133" xfId="0" applyFont="1" applyBorder="1" applyAlignment="1" applyProtection="1">
      <alignment horizontal="center" vertical="center"/>
    </xf>
    <xf numFmtId="0" fontId="112" fillId="0" borderId="127" xfId="0" applyFont="1" applyBorder="1" applyAlignment="1" applyProtection="1">
      <alignment horizontal="right" vertical="center"/>
    </xf>
    <xf numFmtId="38" fontId="112" fillId="9" borderId="124" xfId="1" applyFont="1" applyFill="1" applyBorder="1" applyAlignment="1" applyProtection="1">
      <alignment horizontal="center" vertical="center" shrinkToFit="1"/>
    </xf>
    <xf numFmtId="38" fontId="112" fillId="0" borderId="107" xfId="1" applyFont="1" applyBorder="1" applyAlignment="1" applyProtection="1">
      <alignment horizontal="left" vertical="center"/>
    </xf>
    <xf numFmtId="0" fontId="3" fillId="0" borderId="0" xfId="0" applyFont="1" applyFill="1" applyBorder="1" applyAlignment="1" applyProtection="1">
      <alignment horizontal="left" vertical="center"/>
    </xf>
    <xf numFmtId="38" fontId="134" fillId="0" borderId="17" xfId="1" applyFont="1" applyFill="1" applyBorder="1" applyProtection="1">
      <alignment vertical="center"/>
    </xf>
    <xf numFmtId="38" fontId="134" fillId="0" borderId="0" xfId="1" applyFont="1" applyFill="1" applyBorder="1" applyAlignment="1" applyProtection="1">
      <alignment horizontal="right" vertical="center"/>
    </xf>
    <xf numFmtId="38" fontId="18" fillId="0" borderId="19" xfId="1" applyFont="1" applyFill="1" applyBorder="1" applyProtection="1">
      <alignment vertical="center"/>
    </xf>
    <xf numFmtId="38" fontId="134" fillId="0" borderId="45" xfId="1" applyFont="1" applyFill="1" applyBorder="1" applyProtection="1">
      <alignment vertical="center"/>
    </xf>
    <xf numFmtId="0" fontId="22" fillId="0" borderId="0" xfId="0" applyFont="1" applyFill="1" applyBorder="1" applyAlignment="1" applyProtection="1">
      <alignment vertical="center"/>
    </xf>
    <xf numFmtId="0" fontId="139" fillId="0" borderId="0" xfId="0" applyFont="1" applyFill="1" applyBorder="1" applyAlignment="1" applyProtection="1">
      <alignment vertical="center"/>
    </xf>
    <xf numFmtId="0" fontId="127" fillId="0" borderId="0" xfId="0" applyFont="1" applyFill="1" applyBorder="1" applyAlignment="1">
      <alignment vertical="center" wrapText="1"/>
    </xf>
    <xf numFmtId="38" fontId="111" fillId="0" borderId="320" xfId="1" applyFont="1" applyBorder="1" applyAlignment="1" applyProtection="1">
      <alignment horizontal="center" vertical="center"/>
      <protection locked="0"/>
    </xf>
    <xf numFmtId="38" fontId="111" fillId="0" borderId="74" xfId="1" applyFont="1" applyBorder="1" applyAlignment="1" applyProtection="1">
      <alignment horizontal="center" vertical="center"/>
      <protection locked="0"/>
    </xf>
    <xf numFmtId="0" fontId="112" fillId="0" borderId="244" xfId="0" applyFont="1" applyBorder="1" applyAlignment="1" applyProtection="1">
      <alignment horizontal="left" vertical="center" wrapText="1"/>
    </xf>
    <xf numFmtId="0" fontId="112" fillId="0" borderId="143" xfId="0" applyFont="1" applyBorder="1" applyAlignment="1" applyProtection="1">
      <alignment horizontal="left" vertical="center"/>
    </xf>
    <xf numFmtId="0" fontId="112" fillId="0" borderId="129" xfId="0" applyFont="1" applyBorder="1" applyAlignment="1" applyProtection="1">
      <alignment horizontal="left" vertical="center"/>
    </xf>
    <xf numFmtId="0" fontId="112" fillId="0" borderId="244" xfId="0" applyFont="1" applyBorder="1" applyAlignment="1" applyProtection="1">
      <alignment horizontal="left" vertical="center"/>
    </xf>
    <xf numFmtId="0" fontId="112" fillId="0" borderId="133" xfId="0" applyFont="1" applyBorder="1" applyAlignment="1" applyProtection="1">
      <alignment horizontal="left" vertical="center"/>
    </xf>
    <xf numFmtId="38" fontId="112" fillId="0" borderId="20" xfId="1" applyFont="1" applyBorder="1" applyAlignment="1" applyProtection="1">
      <alignment horizontal="center" vertical="center"/>
    </xf>
    <xf numFmtId="38" fontId="112" fillId="0" borderId="43" xfId="1" applyFont="1" applyBorder="1" applyAlignment="1" applyProtection="1">
      <alignment horizontal="center" vertical="center"/>
    </xf>
    <xf numFmtId="38" fontId="112" fillId="0" borderId="24" xfId="1" applyFont="1" applyBorder="1" applyAlignment="1" applyProtection="1">
      <alignment horizontal="center" vertical="center"/>
    </xf>
    <xf numFmtId="38" fontId="112" fillId="0" borderId="225" xfId="1" applyFont="1" applyBorder="1" applyAlignment="1" applyProtection="1">
      <alignment horizontal="right" vertical="center"/>
      <protection locked="0"/>
    </xf>
    <xf numFmtId="38" fontId="112" fillId="0" borderId="227" xfId="1" applyFont="1" applyBorder="1" applyAlignment="1" applyProtection="1">
      <alignment horizontal="right" vertical="center"/>
      <protection locked="0"/>
    </xf>
    <xf numFmtId="38" fontId="112" fillId="0" borderId="245" xfId="1" applyFont="1" applyBorder="1" applyAlignment="1" applyProtection="1">
      <alignment horizontal="right" vertical="center"/>
      <protection locked="0"/>
    </xf>
    <xf numFmtId="38" fontId="112" fillId="0" borderId="224" xfId="1" applyFont="1" applyBorder="1" applyAlignment="1" applyProtection="1">
      <alignment horizontal="right" vertical="center"/>
      <protection locked="0"/>
    </xf>
    <xf numFmtId="38" fontId="112" fillId="0" borderId="223" xfId="1" applyFont="1" applyBorder="1" applyAlignment="1" applyProtection="1">
      <alignment horizontal="right" vertical="center"/>
      <protection locked="0"/>
    </xf>
    <xf numFmtId="38" fontId="112" fillId="0" borderId="246" xfId="1" applyFont="1" applyBorder="1" applyAlignment="1" applyProtection="1">
      <alignment horizontal="right" vertical="center"/>
      <protection locked="0"/>
    </xf>
    <xf numFmtId="38" fontId="112" fillId="0" borderId="226" xfId="1" applyFont="1" applyBorder="1" applyAlignment="1" applyProtection="1">
      <alignment horizontal="right" vertical="center"/>
      <protection locked="0"/>
    </xf>
    <xf numFmtId="0" fontId="112" fillId="0" borderId="124" xfId="0" applyFont="1" applyBorder="1" applyAlignment="1" applyProtection="1">
      <alignment horizontal="left" vertical="center"/>
    </xf>
    <xf numFmtId="0" fontId="112" fillId="0" borderId="130" xfId="0" applyFont="1" applyBorder="1" applyAlignment="1" applyProtection="1">
      <alignment horizontal="left" vertical="center"/>
    </xf>
    <xf numFmtId="9" fontId="112" fillId="0" borderId="124" xfId="0" applyNumberFormat="1" applyFont="1" applyBorder="1" applyAlignment="1" applyProtection="1">
      <alignment horizontal="right" vertical="center"/>
    </xf>
    <xf numFmtId="9" fontId="112" fillId="0" borderId="130" xfId="0" applyNumberFormat="1" applyFont="1" applyBorder="1" applyAlignment="1" applyProtection="1">
      <alignment horizontal="right" vertical="center"/>
    </xf>
    <xf numFmtId="38" fontId="112" fillId="0" borderId="125" xfId="1" applyFont="1" applyBorder="1" applyAlignment="1" applyProtection="1">
      <alignment horizontal="right" vertical="center"/>
    </xf>
    <xf numFmtId="38" fontId="112" fillId="0" borderId="242" xfId="1" applyFont="1" applyBorder="1" applyAlignment="1" applyProtection="1">
      <alignment horizontal="right" vertical="center"/>
    </xf>
    <xf numFmtId="38" fontId="112" fillId="0" borderId="32" xfId="1" applyFont="1" applyBorder="1" applyAlignment="1" applyProtection="1">
      <alignment horizontal="center" vertical="center"/>
    </xf>
    <xf numFmtId="38" fontId="112" fillId="0" borderId="49" xfId="1" applyFont="1" applyBorder="1" applyAlignment="1" applyProtection="1">
      <alignment horizontal="center" vertical="center"/>
    </xf>
    <xf numFmtId="38" fontId="112" fillId="0" borderId="48" xfId="1" applyFont="1" applyBorder="1" applyAlignment="1" applyProtection="1">
      <alignment horizontal="center" vertical="center"/>
    </xf>
    <xf numFmtId="38" fontId="112" fillId="0" borderId="12" xfId="1" applyFont="1" applyBorder="1" applyAlignment="1" applyProtection="1">
      <alignment horizontal="center" vertical="center"/>
    </xf>
    <xf numFmtId="0" fontId="112" fillId="0" borderId="140" xfId="0" applyFont="1" applyBorder="1" applyAlignment="1" applyProtection="1">
      <alignment horizontal="center" vertical="center"/>
    </xf>
    <xf numFmtId="0" fontId="112" fillId="0" borderId="143" xfId="0" applyFont="1" applyBorder="1" applyAlignment="1" applyProtection="1">
      <alignment horizontal="center" vertical="center"/>
    </xf>
    <xf numFmtId="0" fontId="112" fillId="0" borderId="133" xfId="0" applyFont="1" applyBorder="1" applyAlignment="1" applyProtection="1">
      <alignment horizontal="center" vertical="center"/>
    </xf>
    <xf numFmtId="0" fontId="112" fillId="0" borderId="130" xfId="0" applyFont="1" applyBorder="1" applyAlignment="1" applyProtection="1">
      <alignment horizontal="center" vertical="center"/>
    </xf>
    <xf numFmtId="0" fontId="112" fillId="0" borderId="242" xfId="0" applyFont="1" applyBorder="1" applyAlignment="1" applyProtection="1">
      <alignment horizontal="center" vertical="center"/>
    </xf>
    <xf numFmtId="0" fontId="112" fillId="0" borderId="127" xfId="0" applyFont="1" applyBorder="1" applyAlignment="1" applyProtection="1">
      <alignment horizontal="right" vertical="center"/>
    </xf>
    <xf numFmtId="0" fontId="112" fillId="0" borderId="128" xfId="0" applyFont="1" applyBorder="1" applyAlignment="1" applyProtection="1">
      <alignment horizontal="right" vertical="center"/>
    </xf>
    <xf numFmtId="0" fontId="112" fillId="0" borderId="137" xfId="0" applyFont="1" applyBorder="1" applyAlignment="1" applyProtection="1">
      <alignment horizontal="center" vertical="center"/>
    </xf>
    <xf numFmtId="0" fontId="112" fillId="0" borderId="138" xfId="0" applyFont="1" applyBorder="1" applyAlignment="1" applyProtection="1">
      <alignment horizontal="center" vertical="center"/>
    </xf>
    <xf numFmtId="38" fontId="112" fillId="9" borderId="124" xfId="1" applyFont="1" applyFill="1" applyBorder="1" applyAlignment="1" applyProtection="1">
      <alignment horizontal="center" vertical="center" shrinkToFit="1"/>
    </xf>
    <xf numFmtId="38" fontId="112" fillId="0" borderId="232" xfId="1" applyFont="1" applyBorder="1" applyAlignment="1" applyProtection="1">
      <alignment horizontal="right" vertical="center"/>
      <protection locked="0"/>
    </xf>
    <xf numFmtId="38" fontId="112" fillId="0" borderId="319" xfId="1" applyFont="1" applyBorder="1" applyAlignment="1" applyProtection="1">
      <alignment horizontal="right" vertical="center"/>
      <protection locked="0"/>
    </xf>
    <xf numFmtId="38" fontId="115" fillId="17" borderId="216" xfId="1" applyFont="1" applyFill="1" applyBorder="1" applyAlignment="1" applyProtection="1">
      <alignment horizontal="center" vertical="center"/>
    </xf>
    <xf numFmtId="38" fontId="115" fillId="17" borderId="239" xfId="1" applyFont="1" applyFill="1" applyBorder="1" applyAlignment="1" applyProtection="1">
      <alignment horizontal="center" vertical="center"/>
    </xf>
    <xf numFmtId="38" fontId="115" fillId="17" borderId="218" xfId="1" applyFont="1" applyFill="1" applyBorder="1" applyAlignment="1" applyProtection="1">
      <alignment horizontal="center" vertical="center"/>
    </xf>
    <xf numFmtId="38" fontId="115" fillId="17" borderId="6" xfId="1" applyFont="1" applyFill="1" applyBorder="1" applyAlignment="1" applyProtection="1">
      <alignment horizontal="center" vertical="center"/>
    </xf>
    <xf numFmtId="38" fontId="115" fillId="9" borderId="243" xfId="1" applyFont="1" applyFill="1" applyBorder="1" applyAlignment="1" applyProtection="1">
      <alignment horizontal="center" vertical="center"/>
    </xf>
    <xf numFmtId="38" fontId="115" fillId="9" borderId="240" xfId="1" applyFont="1" applyFill="1" applyBorder="1" applyAlignment="1" applyProtection="1">
      <alignment horizontal="center" vertical="center"/>
    </xf>
    <xf numFmtId="38" fontId="115" fillId="9" borderId="234" xfId="1" applyFont="1" applyFill="1" applyBorder="1" applyAlignment="1" applyProtection="1">
      <alignment horizontal="center" vertical="center"/>
    </xf>
    <xf numFmtId="38" fontId="115" fillId="9" borderId="235" xfId="1" applyFont="1" applyFill="1" applyBorder="1" applyAlignment="1" applyProtection="1">
      <alignment horizontal="center" vertical="center"/>
    </xf>
    <xf numFmtId="38" fontId="113" fillId="0" borderId="104" xfId="1" applyFont="1" applyBorder="1" applyAlignment="1" applyProtection="1">
      <alignment horizontal="center" vertical="center" shrinkToFit="1"/>
    </xf>
    <xf numFmtId="38" fontId="115" fillId="9" borderId="236" xfId="1" applyFont="1" applyFill="1" applyBorder="1" applyAlignment="1" applyProtection="1">
      <alignment horizontal="center" vertical="center"/>
    </xf>
    <xf numFmtId="38" fontId="115" fillId="9" borderId="237" xfId="1" applyFont="1" applyFill="1" applyBorder="1" applyAlignment="1" applyProtection="1">
      <alignment horizontal="center" vertical="center"/>
    </xf>
    <xf numFmtId="38" fontId="117" fillId="0" borderId="238" xfId="1" applyFont="1" applyBorder="1" applyAlignment="1" applyProtection="1">
      <alignment horizontal="right" vertical="center"/>
    </xf>
    <xf numFmtId="38" fontId="117" fillId="0" borderId="239" xfId="1" applyFont="1" applyBorder="1" applyAlignment="1" applyProtection="1">
      <alignment horizontal="right" vertical="center"/>
    </xf>
    <xf numFmtId="38" fontId="117" fillId="0" borderId="5" xfId="1" applyFont="1" applyBorder="1" applyAlignment="1" applyProtection="1">
      <alignment horizontal="right" vertical="center"/>
    </xf>
    <xf numFmtId="38" fontId="117" fillId="0" borderId="6" xfId="1" applyFont="1" applyBorder="1" applyAlignment="1" applyProtection="1">
      <alignment horizontal="right" vertical="center"/>
    </xf>
    <xf numFmtId="38" fontId="116" fillId="0" borderId="116" xfId="1" applyFont="1" applyBorder="1" applyAlignment="1" applyProtection="1">
      <alignment horizontal="right" vertical="center"/>
    </xf>
    <xf numFmtId="38" fontId="116" fillId="0" borderId="240" xfId="1" applyFont="1" applyBorder="1" applyAlignment="1" applyProtection="1">
      <alignment horizontal="right" vertical="center"/>
    </xf>
    <xf numFmtId="38" fontId="116" fillId="0" borderId="132" xfId="1" applyFont="1" applyBorder="1" applyAlignment="1" applyProtection="1">
      <alignment horizontal="right" vertical="center"/>
    </xf>
    <xf numFmtId="38" fontId="116" fillId="0" borderId="235" xfId="1" applyFont="1" applyBorder="1" applyAlignment="1" applyProtection="1">
      <alignment horizontal="right" vertical="center"/>
    </xf>
    <xf numFmtId="38" fontId="116" fillId="0" borderId="241" xfId="1" applyFont="1" applyBorder="1" applyAlignment="1" applyProtection="1">
      <alignment horizontal="right" vertical="center"/>
    </xf>
    <xf numFmtId="38" fontId="116" fillId="0" borderId="237" xfId="1" applyFont="1" applyBorder="1" applyAlignment="1" applyProtection="1">
      <alignment horizontal="right" vertical="center"/>
    </xf>
    <xf numFmtId="38" fontId="112" fillId="0" borderId="107" xfId="1" applyFont="1" applyBorder="1" applyAlignment="1" applyProtection="1">
      <alignment horizontal="left" vertical="center"/>
    </xf>
    <xf numFmtId="38" fontId="114" fillId="9" borderId="228" xfId="1" applyFont="1" applyFill="1" applyBorder="1" applyAlignment="1" applyProtection="1">
      <alignment horizontal="center" vertical="center" wrapText="1" shrinkToFit="1"/>
    </xf>
    <xf numFmtId="38" fontId="114" fillId="9" borderId="229" xfId="1" applyFont="1" applyFill="1" applyBorder="1" applyAlignment="1" applyProtection="1">
      <alignment horizontal="center" vertical="center" wrapText="1" shrinkToFit="1"/>
    </xf>
    <xf numFmtId="38" fontId="112" fillId="0" borderId="233" xfId="1" applyFont="1" applyBorder="1" applyAlignment="1" applyProtection="1">
      <alignment horizontal="right" vertical="center"/>
      <protection locked="0"/>
    </xf>
    <xf numFmtId="38" fontId="118" fillId="16" borderId="0" xfId="1" applyFont="1" applyFill="1" applyAlignment="1" applyProtection="1">
      <alignment horizontal="center" vertical="center"/>
    </xf>
    <xf numFmtId="38" fontId="115" fillId="17" borderId="217" xfId="1" applyFont="1" applyFill="1" applyBorder="1" applyAlignment="1" applyProtection="1">
      <alignment horizontal="center" vertical="center"/>
    </xf>
    <xf numFmtId="38" fontId="115" fillId="17" borderId="219" xfId="1" applyFont="1" applyFill="1" applyBorder="1" applyAlignment="1" applyProtection="1">
      <alignment horizontal="center" vertical="center"/>
    </xf>
    <xf numFmtId="38" fontId="117" fillId="0" borderId="218" xfId="1" applyFont="1" applyBorder="1" applyAlignment="1" applyProtection="1">
      <alignment horizontal="center" vertical="center"/>
    </xf>
    <xf numFmtId="38" fontId="117" fillId="0" borderId="219" xfId="1" applyFont="1" applyBorder="1" applyAlignment="1" applyProtection="1">
      <alignment horizontal="center" vertical="center"/>
    </xf>
    <xf numFmtId="38" fontId="117" fillId="0" borderId="220" xfId="1" applyFont="1" applyBorder="1" applyAlignment="1" applyProtection="1">
      <alignment horizontal="center" vertical="center"/>
    </xf>
    <xf numFmtId="38" fontId="117" fillId="0" borderId="221" xfId="1" applyFont="1" applyBorder="1" applyAlignment="1" applyProtection="1">
      <alignment horizontal="center" vertical="center"/>
    </xf>
    <xf numFmtId="38" fontId="112" fillId="14" borderId="222" xfId="1" applyFont="1" applyFill="1" applyBorder="1" applyAlignment="1" applyProtection="1">
      <alignment horizontal="right" vertical="center"/>
    </xf>
    <xf numFmtId="38" fontId="112" fillId="9" borderId="228" xfId="1" applyFont="1" applyFill="1" applyBorder="1" applyAlignment="1" applyProtection="1">
      <alignment horizontal="center" vertical="center" shrinkToFit="1"/>
    </xf>
    <xf numFmtId="38" fontId="112" fillId="9" borderId="229" xfId="1" applyFont="1" applyFill="1" applyBorder="1" applyAlignment="1" applyProtection="1">
      <alignment horizontal="center" vertical="center" shrinkToFit="1"/>
    </xf>
    <xf numFmtId="38" fontId="122" fillId="0" borderId="106" xfId="1" applyFont="1" applyBorder="1" applyAlignment="1" applyProtection="1">
      <alignment horizontal="right" vertical="center"/>
    </xf>
    <xf numFmtId="38" fontId="122" fillId="0" borderId="108" xfId="1" applyFont="1" applyBorder="1" applyAlignment="1" applyProtection="1">
      <alignment horizontal="right" vertical="center"/>
    </xf>
    <xf numFmtId="38" fontId="115" fillId="17" borderId="103" xfId="1" applyFont="1" applyFill="1" applyBorder="1" applyAlignment="1" applyProtection="1">
      <alignment horizontal="center" vertical="center"/>
    </xf>
    <xf numFmtId="38" fontId="115" fillId="17" borderId="105" xfId="1" applyFont="1" applyFill="1" applyBorder="1" applyAlignment="1" applyProtection="1">
      <alignment horizontal="center" vertical="center"/>
    </xf>
    <xf numFmtId="38" fontId="115" fillId="17" borderId="230" xfId="1" applyFont="1" applyFill="1" applyBorder="1" applyAlignment="1" applyProtection="1">
      <alignment horizontal="center" vertical="center"/>
    </xf>
    <xf numFmtId="38" fontId="115" fillId="17" borderId="231" xfId="1" applyFont="1" applyFill="1" applyBorder="1" applyAlignment="1" applyProtection="1">
      <alignment horizontal="center" vertical="center"/>
    </xf>
    <xf numFmtId="38" fontId="137" fillId="0" borderId="311" xfId="1" applyFont="1" applyFill="1" applyBorder="1" applyAlignment="1" applyProtection="1">
      <alignment vertical="center"/>
    </xf>
    <xf numFmtId="0" fontId="138" fillId="0" borderId="281" xfId="0" applyFont="1" applyBorder="1" applyAlignment="1">
      <alignment vertical="center"/>
    </xf>
    <xf numFmtId="0" fontId="138" fillId="0" borderId="280" xfId="0" applyFont="1" applyBorder="1" applyAlignment="1">
      <alignment vertical="center"/>
    </xf>
    <xf numFmtId="38" fontId="70" fillId="3" borderId="215" xfId="1" applyFont="1" applyFill="1" applyBorder="1" applyAlignment="1" applyProtection="1">
      <alignment horizontal="center" vertical="center"/>
    </xf>
    <xf numFmtId="38" fontId="70" fillId="3" borderId="158" xfId="1" applyFont="1" applyFill="1" applyBorder="1" applyAlignment="1" applyProtection="1">
      <alignment horizontal="center" vertical="center"/>
    </xf>
    <xf numFmtId="38" fontId="135" fillId="0" borderId="158" xfId="1" applyFont="1" applyFill="1" applyBorder="1" applyAlignment="1" applyProtection="1">
      <alignment vertical="center"/>
      <protection locked="0"/>
    </xf>
    <xf numFmtId="0" fontId="136" fillId="0" borderId="158" xfId="0" applyFont="1" applyFill="1" applyBorder="1" applyAlignment="1" applyProtection="1">
      <alignment vertical="center"/>
      <protection locked="0"/>
    </xf>
    <xf numFmtId="0" fontId="136" fillId="0" borderId="281" xfId="0" applyFont="1" applyBorder="1" applyAlignment="1">
      <alignment vertical="center"/>
    </xf>
    <xf numFmtId="0" fontId="138" fillId="0" borderId="312" xfId="0" applyFont="1" applyBorder="1" applyAlignment="1">
      <alignment vertical="center"/>
    </xf>
    <xf numFmtId="38" fontId="69" fillId="2" borderId="76" xfId="1" applyFont="1" applyFill="1" applyBorder="1" applyAlignment="1" applyProtection="1">
      <alignment vertical="center"/>
      <protection locked="0"/>
    </xf>
    <xf numFmtId="0" fontId="68" fillId="2" borderId="76" xfId="0" applyFont="1" applyFill="1" applyBorder="1" applyAlignment="1" applyProtection="1">
      <alignment vertical="center"/>
      <protection locked="0"/>
    </xf>
    <xf numFmtId="38" fontId="32" fillId="0" borderId="149" xfId="1" applyFont="1" applyFill="1" applyBorder="1" applyAlignment="1" applyProtection="1">
      <alignment vertical="center"/>
    </xf>
    <xf numFmtId="0" fontId="0" fillId="0" borderId="150" xfId="0" applyBorder="1" applyAlignment="1">
      <alignment vertical="center"/>
    </xf>
    <xf numFmtId="0" fontId="0" fillId="0" borderId="151" xfId="0" applyBorder="1" applyAlignment="1">
      <alignment vertical="center"/>
    </xf>
    <xf numFmtId="38" fontId="12" fillId="0" borderId="18" xfId="1" applyFont="1" applyFill="1" applyBorder="1" applyAlignment="1" applyProtection="1">
      <alignment vertical="center"/>
    </xf>
    <xf numFmtId="0" fontId="0" fillId="0" borderId="18" xfId="0" applyBorder="1" applyAlignment="1">
      <alignment vertical="center"/>
    </xf>
    <xf numFmtId="38" fontId="23" fillId="0" borderId="0" xfId="1" applyFont="1" applyFill="1" applyBorder="1" applyAlignment="1" applyProtection="1">
      <alignment horizontal="left" vertical="center"/>
    </xf>
    <xf numFmtId="38" fontId="12" fillId="0" borderId="152" xfId="1" applyFont="1" applyFill="1" applyBorder="1" applyAlignment="1" applyProtection="1">
      <alignment vertical="center"/>
    </xf>
    <xf numFmtId="0" fontId="0" fillId="0" borderId="153" xfId="0" applyBorder="1" applyAlignment="1">
      <alignment vertical="center"/>
    </xf>
    <xf numFmtId="0" fontId="0" fillId="0" borderId="154" xfId="0" applyBorder="1" applyAlignment="1">
      <alignment vertical="center"/>
    </xf>
    <xf numFmtId="38" fontId="12" fillId="0" borderId="313" xfId="1" applyFont="1" applyFill="1" applyBorder="1" applyAlignment="1" applyProtection="1">
      <alignment vertical="center"/>
    </xf>
    <xf numFmtId="0" fontId="0" fillId="0" borderId="313" xfId="0" applyBorder="1" applyAlignment="1">
      <alignment vertical="center"/>
    </xf>
    <xf numFmtId="179" fontId="67" fillId="3" borderId="166" xfId="1" applyNumberFormat="1" applyFont="1" applyFill="1" applyBorder="1" applyAlignment="1" applyProtection="1">
      <alignment horizontal="center" vertical="center"/>
    </xf>
    <xf numFmtId="0" fontId="0" fillId="0" borderId="166" xfId="0" applyBorder="1" applyAlignment="1">
      <alignment vertical="center"/>
    </xf>
    <xf numFmtId="38" fontId="70" fillId="3" borderId="306" xfId="1" applyFont="1" applyFill="1" applyBorder="1" applyAlignment="1" applyProtection="1">
      <alignment horizontal="center" vertical="center"/>
    </xf>
    <xf numFmtId="0" fontId="44" fillId="0" borderId="76" xfId="0" applyFont="1" applyBorder="1" applyAlignment="1">
      <alignment vertical="center"/>
    </xf>
    <xf numFmtId="38" fontId="69" fillId="2" borderId="19" xfId="1" applyFont="1" applyFill="1" applyBorder="1" applyAlignment="1" applyProtection="1">
      <alignment vertical="center"/>
      <protection locked="0"/>
    </xf>
    <xf numFmtId="0" fontId="68" fillId="2" borderId="19" xfId="0" applyFont="1" applyFill="1" applyBorder="1" applyAlignment="1" applyProtection="1">
      <alignment vertical="center"/>
      <protection locked="0"/>
    </xf>
    <xf numFmtId="38" fontId="70" fillId="3" borderId="148" xfId="1" applyFont="1" applyFill="1" applyBorder="1" applyAlignment="1" applyProtection="1">
      <alignment horizontal="center" vertical="center"/>
    </xf>
    <xf numFmtId="0" fontId="44" fillId="0" borderId="19" xfId="0" applyFont="1" applyBorder="1" applyAlignment="1">
      <alignment vertical="center"/>
    </xf>
    <xf numFmtId="38" fontId="32" fillId="0" borderId="19" xfId="1" applyFont="1" applyFill="1" applyBorder="1" applyAlignment="1" applyProtection="1">
      <alignment vertical="center"/>
    </xf>
    <xf numFmtId="0" fontId="0" fillId="0" borderId="19" xfId="0" applyBorder="1" applyAlignment="1">
      <alignment vertical="center"/>
    </xf>
    <xf numFmtId="38" fontId="12" fillId="0" borderId="173" xfId="1" applyFont="1" applyFill="1" applyBorder="1" applyAlignment="1" applyProtection="1">
      <alignment vertical="center"/>
    </xf>
    <xf numFmtId="0" fontId="0" fillId="0" borderId="173" xfId="0" applyBorder="1" applyAlignment="1">
      <alignment vertical="center"/>
    </xf>
    <xf numFmtId="0" fontId="44" fillId="0" borderId="158" xfId="0" applyFont="1" applyBorder="1" applyAlignment="1">
      <alignment vertical="center"/>
    </xf>
    <xf numFmtId="38" fontId="67" fillId="3" borderId="166" xfId="1" applyFont="1" applyFill="1" applyBorder="1" applyAlignment="1" applyProtection="1">
      <alignment horizontal="center" vertical="center"/>
    </xf>
    <xf numFmtId="0" fontId="68" fillId="0" borderId="166" xfId="0" applyFont="1" applyBorder="1" applyAlignment="1">
      <alignment vertical="center"/>
    </xf>
    <xf numFmtId="40" fontId="69" fillId="2" borderId="19" xfId="1" applyNumberFormat="1" applyFont="1" applyFill="1" applyBorder="1" applyAlignment="1" applyProtection="1">
      <alignment vertical="center"/>
      <protection locked="0"/>
    </xf>
    <xf numFmtId="38" fontId="67" fillId="3" borderId="165" xfId="1" applyFont="1" applyFill="1" applyBorder="1" applyAlignment="1" applyProtection="1">
      <alignment vertical="center"/>
    </xf>
    <xf numFmtId="38" fontId="69" fillId="2" borderId="158" xfId="1" applyFont="1" applyFill="1" applyBorder="1" applyAlignment="1" applyProtection="1">
      <alignment vertical="center"/>
      <protection locked="0"/>
    </xf>
    <xf numFmtId="0" fontId="68" fillId="2" borderId="158" xfId="0" applyFont="1" applyFill="1" applyBorder="1" applyAlignment="1" applyProtection="1">
      <alignment vertical="center"/>
      <protection locked="0"/>
    </xf>
    <xf numFmtId="0" fontId="68" fillId="0" borderId="153" xfId="0" applyFont="1" applyBorder="1" applyAlignment="1">
      <alignment vertical="center"/>
    </xf>
    <xf numFmtId="0" fontId="0" fillId="0" borderId="172" xfId="0" applyBorder="1" applyAlignment="1">
      <alignment vertical="center"/>
    </xf>
    <xf numFmtId="0" fontId="68" fillId="0" borderId="150" xfId="0" applyFont="1" applyBorder="1" applyAlignment="1">
      <alignment vertical="center"/>
    </xf>
    <xf numFmtId="0" fontId="0" fillId="0" borderId="171" xfId="0" applyBorder="1" applyAlignment="1">
      <alignment vertical="center"/>
    </xf>
    <xf numFmtId="179" fontId="67" fillId="3" borderId="155" xfId="1" applyNumberFormat="1" applyFont="1" applyFill="1" applyBorder="1" applyAlignment="1" applyProtection="1">
      <alignment horizontal="center" vertical="center"/>
    </xf>
    <xf numFmtId="179" fontId="67" fillId="3" borderId="156" xfId="1" applyNumberFormat="1" applyFont="1" applyFill="1" applyBorder="1" applyAlignment="1" applyProtection="1">
      <alignment horizontal="center" vertical="center"/>
    </xf>
    <xf numFmtId="0" fontId="36" fillId="0" borderId="168" xfId="0" applyFont="1" applyFill="1" applyBorder="1" applyAlignment="1" applyProtection="1">
      <alignment horizontal="center" vertical="center"/>
    </xf>
    <xf numFmtId="0" fontId="36" fillId="0" borderId="21" xfId="0" applyFont="1" applyFill="1" applyBorder="1" applyAlignment="1" applyProtection="1">
      <alignment horizontal="center" vertical="center"/>
    </xf>
    <xf numFmtId="0" fontId="36" fillId="0" borderId="169"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7" fillId="0" borderId="12" xfId="0" applyFont="1" applyFill="1" applyBorder="1" applyAlignment="1" applyProtection="1">
      <alignment horizontal="center" vertical="center"/>
    </xf>
    <xf numFmtId="38" fontId="28" fillId="2" borderId="0" xfId="1" applyFont="1" applyFill="1" applyBorder="1" applyAlignment="1" applyProtection="1">
      <alignment horizontal="center" vertical="center"/>
      <protection locked="0"/>
    </xf>
    <xf numFmtId="38" fontId="28" fillId="2" borderId="12" xfId="1" applyFont="1" applyFill="1" applyBorder="1" applyAlignment="1" applyProtection="1">
      <alignment horizontal="center" vertical="center"/>
      <protection locked="0"/>
    </xf>
    <xf numFmtId="0" fontId="3" fillId="0" borderId="167"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0" fontId="36" fillId="0" borderId="181" xfId="0" applyFont="1" applyFill="1" applyBorder="1" applyAlignment="1" applyProtection="1">
      <alignment horizontal="center" vertical="center"/>
    </xf>
    <xf numFmtId="0" fontId="36" fillId="0" borderId="12" xfId="0" applyFont="1" applyFill="1" applyBorder="1" applyAlignment="1" applyProtection="1">
      <alignment horizontal="center" vertical="center"/>
    </xf>
    <xf numFmtId="0" fontId="36" fillId="0" borderId="182" xfId="0" applyFont="1" applyFill="1" applyBorder="1" applyAlignment="1" applyProtection="1">
      <alignment horizontal="center" vertical="center"/>
    </xf>
    <xf numFmtId="0" fontId="28" fillId="2" borderId="317" xfId="0" applyFont="1" applyFill="1" applyBorder="1" applyAlignment="1" applyProtection="1">
      <alignment horizontal="center" vertical="center"/>
      <protection locked="0"/>
    </xf>
    <xf numFmtId="0" fontId="28" fillId="2" borderId="315" xfId="0" applyFont="1" applyFill="1" applyBorder="1" applyAlignment="1" applyProtection="1">
      <alignment horizontal="center" vertical="center"/>
      <protection locked="0"/>
    </xf>
    <xf numFmtId="0" fontId="28" fillId="2" borderId="316" xfId="0" applyFont="1" applyFill="1" applyBorder="1" applyAlignment="1" applyProtection="1">
      <alignment horizontal="center" vertical="center"/>
      <protection locked="0"/>
    </xf>
    <xf numFmtId="0" fontId="28" fillId="2" borderId="318" xfId="0" applyFont="1" applyFill="1" applyBorder="1" applyAlignment="1" applyProtection="1">
      <alignment horizontal="center" vertical="center"/>
      <protection locked="0"/>
    </xf>
    <xf numFmtId="0" fontId="68" fillId="0" borderId="156" xfId="0" applyFont="1" applyBorder="1" applyAlignment="1">
      <alignment vertical="center"/>
    </xf>
    <xf numFmtId="0" fontId="0" fillId="0" borderId="170" xfId="0" applyBorder="1" applyAlignment="1">
      <alignment vertical="center"/>
    </xf>
    <xf numFmtId="0" fontId="3" fillId="0" borderId="188" xfId="0" applyFont="1" applyFill="1" applyBorder="1" applyAlignment="1" applyProtection="1">
      <alignment horizontal="center" vertical="center"/>
    </xf>
    <xf numFmtId="0" fontId="3" fillId="0" borderId="189" xfId="0" applyFont="1" applyFill="1" applyBorder="1" applyAlignment="1" applyProtection="1">
      <alignment horizontal="center" vertical="center"/>
    </xf>
    <xf numFmtId="38" fontId="56" fillId="2" borderId="190" xfId="0" applyNumberFormat="1" applyFont="1" applyFill="1" applyBorder="1" applyAlignment="1" applyProtection="1">
      <alignment horizontal="center" vertical="center"/>
      <protection locked="0"/>
    </xf>
    <xf numFmtId="0" fontId="56" fillId="2" borderId="191" xfId="0" applyFont="1" applyFill="1" applyBorder="1" applyAlignment="1" applyProtection="1">
      <alignment horizontal="center" vertical="center"/>
      <protection locked="0"/>
    </xf>
    <xf numFmtId="0" fontId="56" fillId="2" borderId="192" xfId="0" applyFont="1" applyFill="1" applyBorder="1" applyAlignment="1" applyProtection="1">
      <alignment horizontal="center" vertical="center"/>
      <protection locked="0"/>
    </xf>
    <xf numFmtId="0" fontId="56" fillId="2" borderId="193" xfId="0" applyFont="1" applyFill="1" applyBorder="1" applyAlignment="1" applyProtection="1">
      <alignment horizontal="center" vertical="center"/>
      <protection locked="0"/>
    </xf>
    <xf numFmtId="0" fontId="5" fillId="0" borderId="191" xfId="0" applyFont="1" applyFill="1" applyBorder="1" applyAlignment="1" applyProtection="1">
      <alignment horizontal="center" vertical="center"/>
    </xf>
    <xf numFmtId="0" fontId="5" fillId="0" borderId="194" xfId="0" applyFont="1" applyFill="1" applyBorder="1" applyAlignment="1" applyProtection="1">
      <alignment horizontal="center" vertical="center"/>
    </xf>
    <xf numFmtId="0" fontId="5" fillId="0" borderId="193" xfId="0" applyFont="1" applyFill="1" applyBorder="1" applyAlignment="1" applyProtection="1">
      <alignment horizontal="center" vertical="center"/>
    </xf>
    <xf numFmtId="0" fontId="5" fillId="0" borderId="195" xfId="0" applyFont="1" applyFill="1" applyBorder="1" applyAlignment="1" applyProtection="1">
      <alignment horizontal="center" vertical="center"/>
    </xf>
    <xf numFmtId="181" fontId="31" fillId="2" borderId="50" xfId="0" applyNumberFormat="1" applyFont="1" applyFill="1" applyBorder="1" applyAlignment="1" applyProtection="1">
      <alignment horizontal="center" vertical="center"/>
      <protection locked="0"/>
    </xf>
    <xf numFmtId="181" fontId="31" fillId="2" borderId="33" xfId="0" applyNumberFormat="1" applyFont="1" applyFill="1" applyBorder="1" applyAlignment="1" applyProtection="1">
      <alignment horizontal="center" vertical="center"/>
      <protection locked="0"/>
    </xf>
    <xf numFmtId="0" fontId="3" fillId="0" borderId="196" xfId="0" applyFont="1" applyFill="1" applyBorder="1" applyAlignment="1" applyProtection="1">
      <alignment horizontal="center" vertical="center"/>
    </xf>
    <xf numFmtId="0" fontId="3" fillId="0" borderId="197" xfId="0" applyFont="1" applyFill="1" applyBorder="1" applyAlignment="1" applyProtection="1">
      <alignment horizontal="center" vertical="center"/>
    </xf>
    <xf numFmtId="0" fontId="3" fillId="0" borderId="198"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38" fontId="16" fillId="0" borderId="0" xfId="0" applyNumberFormat="1" applyFont="1" applyFill="1" applyBorder="1" applyAlignment="1" applyProtection="1">
      <alignment horizontal="right" vertical="center"/>
    </xf>
    <xf numFmtId="38" fontId="16" fillId="0" borderId="12" xfId="0" applyNumberFormat="1" applyFont="1" applyFill="1" applyBorder="1" applyAlignment="1" applyProtection="1">
      <alignment horizontal="right" vertical="center"/>
    </xf>
    <xf numFmtId="0" fontId="133" fillId="0" borderId="181" xfId="0" applyFont="1" applyFill="1" applyBorder="1" applyAlignment="1" applyProtection="1">
      <alignment horizontal="center" vertical="center"/>
    </xf>
    <xf numFmtId="0" fontId="133" fillId="0" borderId="12" xfId="0" applyFont="1" applyFill="1" applyBorder="1" applyAlignment="1" applyProtection="1">
      <alignment horizontal="center" vertical="center"/>
    </xf>
    <xf numFmtId="0" fontId="133" fillId="0" borderId="182" xfId="0" applyFont="1" applyFill="1" applyBorder="1" applyAlignment="1" applyProtection="1">
      <alignment horizontal="center" vertical="center"/>
    </xf>
    <xf numFmtId="0" fontId="36" fillId="0" borderId="167"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44" xfId="0" applyFont="1" applyFill="1" applyBorder="1" applyAlignment="1" applyProtection="1">
      <alignment horizontal="center" vertical="center"/>
    </xf>
    <xf numFmtId="0" fontId="28" fillId="2" borderId="197" xfId="0" applyFont="1" applyFill="1" applyBorder="1" applyAlignment="1" applyProtection="1">
      <alignment horizontal="center" vertical="center"/>
      <protection locked="0"/>
    </xf>
    <xf numFmtId="0" fontId="28" fillId="2" borderId="0" xfId="0" applyFont="1" applyFill="1" applyBorder="1" applyAlignment="1" applyProtection="1">
      <alignment horizontal="center" vertical="center"/>
      <protection locked="0"/>
    </xf>
    <xf numFmtId="0" fontId="28" fillId="2" borderId="12" xfId="0" applyFont="1" applyFill="1" applyBorder="1" applyAlignment="1" applyProtection="1">
      <alignment horizontal="center" vertical="center"/>
      <protection locked="0"/>
    </xf>
    <xf numFmtId="0" fontId="28" fillId="2" borderId="314" xfId="0" applyFont="1" applyFill="1" applyBorder="1" applyAlignment="1" applyProtection="1">
      <alignment horizontal="center" vertical="center"/>
      <protection locked="0"/>
    </xf>
    <xf numFmtId="0" fontId="28" fillId="2" borderId="21" xfId="0" applyFont="1" applyFill="1" applyBorder="1" applyAlignment="1" applyProtection="1">
      <alignment horizontal="center" vertical="center"/>
      <protection locked="0"/>
    </xf>
    <xf numFmtId="0" fontId="10" fillId="0" borderId="200" xfId="0" applyFont="1" applyFill="1" applyBorder="1" applyAlignment="1" applyProtection="1">
      <alignment horizontal="center"/>
    </xf>
    <xf numFmtId="0" fontId="10" fillId="0" borderId="201" xfId="0" applyFont="1" applyFill="1" applyBorder="1" applyAlignment="1" applyProtection="1">
      <alignment horizontal="center"/>
    </xf>
    <xf numFmtId="0" fontId="10" fillId="0" borderId="202" xfId="0" applyFont="1" applyFill="1" applyBorder="1" applyAlignment="1" applyProtection="1">
      <alignment horizontal="center"/>
    </xf>
    <xf numFmtId="0" fontId="5" fillId="0" borderId="203" xfId="0" applyFont="1" applyFill="1" applyBorder="1" applyAlignment="1" applyProtection="1">
      <alignment horizontal="center" vertical="center"/>
    </xf>
    <xf numFmtId="0" fontId="5" fillId="0" borderId="204" xfId="0" applyFont="1" applyFill="1" applyBorder="1" applyAlignment="1" applyProtection="1">
      <alignment horizontal="center" vertical="center"/>
    </xf>
    <xf numFmtId="38" fontId="46" fillId="2" borderId="205" xfId="1" applyFont="1" applyFill="1" applyBorder="1" applyAlignment="1" applyProtection="1">
      <alignment horizontal="center" vertical="center"/>
      <protection locked="0"/>
    </xf>
    <xf numFmtId="38" fontId="46" fillId="2" borderId="201" xfId="1" applyFont="1" applyFill="1" applyBorder="1" applyAlignment="1" applyProtection="1">
      <alignment horizontal="center" vertical="center"/>
      <protection locked="0"/>
    </xf>
    <xf numFmtId="38" fontId="46" fillId="2" borderId="206" xfId="1" applyFont="1" applyFill="1" applyBorder="1" applyAlignment="1" applyProtection="1">
      <alignment horizontal="center" vertical="center"/>
      <protection locked="0"/>
    </xf>
    <xf numFmtId="38" fontId="46" fillId="2" borderId="0" xfId="1" applyFont="1" applyFill="1" applyBorder="1" applyAlignment="1" applyProtection="1">
      <alignment horizontal="center" vertical="center"/>
      <protection locked="0"/>
    </xf>
    <xf numFmtId="0" fontId="3" fillId="0" borderId="207" xfId="0" applyFont="1" applyFill="1" applyBorder="1" applyAlignment="1" applyProtection="1">
      <alignment horizontal="center" vertical="center"/>
    </xf>
    <xf numFmtId="0" fontId="3" fillId="0" borderId="208" xfId="0" applyFont="1" applyFill="1" applyBorder="1" applyAlignment="1" applyProtection="1">
      <alignment horizontal="center" vertical="center"/>
    </xf>
    <xf numFmtId="0" fontId="3" fillId="0" borderId="209" xfId="0" applyFont="1" applyFill="1" applyBorder="1" applyAlignment="1" applyProtection="1">
      <alignment vertical="center"/>
    </xf>
    <xf numFmtId="0" fontId="3" fillId="0" borderId="210" xfId="0" applyFont="1" applyFill="1" applyBorder="1" applyAlignment="1" applyProtection="1">
      <alignment vertical="center"/>
    </xf>
    <xf numFmtId="0" fontId="3" fillId="0" borderId="211" xfId="0" applyFont="1" applyFill="1" applyBorder="1" applyAlignment="1" applyProtection="1">
      <alignment vertical="center"/>
    </xf>
    <xf numFmtId="0" fontId="3" fillId="0" borderId="212" xfId="0" applyFont="1" applyFill="1" applyBorder="1" applyAlignment="1" applyProtection="1">
      <alignment vertical="center"/>
    </xf>
    <xf numFmtId="0" fontId="3" fillId="0" borderId="186" xfId="0" applyFont="1" applyFill="1" applyBorder="1" applyAlignment="1" applyProtection="1">
      <alignment vertical="center"/>
    </xf>
    <xf numFmtId="0" fontId="3" fillId="0" borderId="213" xfId="0" applyFont="1" applyFill="1" applyBorder="1" applyAlignment="1" applyProtection="1">
      <alignment vertical="center"/>
    </xf>
    <xf numFmtId="0" fontId="30" fillId="2" borderId="210" xfId="0" applyFont="1" applyFill="1" applyBorder="1" applyAlignment="1" applyProtection="1">
      <alignment horizontal="center" vertical="center"/>
      <protection locked="0"/>
    </xf>
    <xf numFmtId="0" fontId="30" fillId="2" borderId="214" xfId="0" applyFont="1" applyFill="1" applyBorder="1" applyAlignment="1" applyProtection="1">
      <alignment horizontal="center" vertical="center"/>
      <protection locked="0"/>
    </xf>
    <xf numFmtId="0" fontId="38" fillId="0" borderId="197" xfId="0" applyFont="1" applyFill="1" applyBorder="1" applyAlignment="1" applyProtection="1">
      <alignment horizontal="center" vertical="center"/>
    </xf>
    <xf numFmtId="0" fontId="38" fillId="0" borderId="178" xfId="0" applyFont="1" applyFill="1" applyBorder="1" applyAlignment="1" applyProtection="1">
      <alignment horizontal="center" vertical="center"/>
    </xf>
    <xf numFmtId="0" fontId="108" fillId="0" borderId="183" xfId="0" applyFont="1" applyFill="1" applyBorder="1" applyAlignment="1" applyProtection="1">
      <alignment horizontal="left" vertical="center"/>
    </xf>
    <xf numFmtId="0" fontId="108" fillId="0" borderId="21" xfId="0" applyFont="1" applyFill="1" applyBorder="1" applyAlignment="1" applyProtection="1">
      <alignment horizontal="left" vertical="center"/>
    </xf>
    <xf numFmtId="0" fontId="108" fillId="0" borderId="184" xfId="0" applyFont="1" applyFill="1" applyBorder="1" applyAlignment="1" applyProtection="1">
      <alignment horizontal="left" vertical="center"/>
    </xf>
    <xf numFmtId="0" fontId="108" fillId="0" borderId="0" xfId="0" applyFont="1" applyFill="1" applyBorder="1" applyAlignment="1" applyProtection="1">
      <alignment horizontal="left" vertical="center"/>
    </xf>
    <xf numFmtId="0" fontId="123" fillId="0" borderId="302" xfId="0" applyFont="1" applyFill="1" applyBorder="1" applyAlignment="1" applyProtection="1">
      <alignment horizontal="center" vertical="center"/>
    </xf>
    <xf numFmtId="0" fontId="123" fillId="0" borderId="303" xfId="0" applyFont="1" applyFill="1" applyBorder="1" applyAlignment="1" applyProtection="1">
      <alignment horizontal="center" vertical="center"/>
    </xf>
    <xf numFmtId="0" fontId="132" fillId="0" borderId="303" xfId="0" applyFont="1" applyFill="1" applyBorder="1" applyAlignment="1" applyProtection="1">
      <alignment horizontal="center" vertical="center"/>
      <protection locked="0"/>
    </xf>
    <xf numFmtId="38" fontId="3" fillId="0" borderId="17" xfId="1" applyFont="1" applyFill="1" applyBorder="1" applyAlignment="1" applyProtection="1">
      <alignment horizontal="center" vertical="center"/>
    </xf>
    <xf numFmtId="176" fontId="15" fillId="0" borderId="17" xfId="0" applyNumberFormat="1" applyFont="1" applyFill="1" applyBorder="1" applyAlignment="1" applyProtection="1">
      <alignment horizontal="center" vertical="center"/>
    </xf>
    <xf numFmtId="0" fontId="3" fillId="0" borderId="178" xfId="0" applyFont="1" applyFill="1" applyBorder="1" applyAlignment="1" applyProtection="1">
      <alignment horizontal="left" vertical="center"/>
    </xf>
    <xf numFmtId="0" fontId="3" fillId="0" borderId="180" xfId="0" applyFont="1" applyFill="1" applyBorder="1" applyAlignment="1" applyProtection="1">
      <alignment horizontal="left" vertical="center"/>
    </xf>
    <xf numFmtId="38" fontId="15" fillId="0" borderId="17" xfId="1" applyFont="1" applyFill="1" applyBorder="1" applyAlignment="1" applyProtection="1">
      <alignment horizontal="center" vertical="center"/>
    </xf>
    <xf numFmtId="0" fontId="42" fillId="0" borderId="42" xfId="0" applyFont="1" applyFill="1" applyBorder="1" applyAlignment="1" applyProtection="1">
      <alignment horizontal="center" vertical="center"/>
    </xf>
    <xf numFmtId="0" fontId="42" fillId="0" borderId="1" xfId="0" applyFont="1" applyFill="1" applyBorder="1" applyAlignment="1" applyProtection="1">
      <alignment horizontal="center" vertical="center"/>
    </xf>
    <xf numFmtId="0" fontId="42" fillId="0" borderId="2" xfId="0" applyFont="1" applyFill="1" applyBorder="1" applyAlignment="1" applyProtection="1">
      <alignment horizontal="center" vertical="center"/>
    </xf>
    <xf numFmtId="0" fontId="42" fillId="0" borderId="23"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42" fillId="0" borderId="3" xfId="0" applyFont="1" applyFill="1" applyBorder="1" applyAlignment="1" applyProtection="1">
      <alignment horizontal="center" vertical="center"/>
    </xf>
    <xf numFmtId="0" fontId="50" fillId="0" borderId="0" xfId="0" applyFont="1" applyFill="1" applyAlignment="1" applyProtection="1">
      <alignment horizontal="left" vertical="center" shrinkToFit="1"/>
    </xf>
    <xf numFmtId="0" fontId="50" fillId="0" borderId="0" xfId="0" applyFont="1" applyFill="1" applyBorder="1" applyAlignment="1" applyProtection="1">
      <alignment horizontal="left" vertical="center" shrinkToFit="1"/>
    </xf>
    <xf numFmtId="0" fontId="97" fillId="0" borderId="304" xfId="0" applyFont="1" applyFill="1" applyBorder="1" applyAlignment="1" applyProtection="1">
      <alignment horizontal="left" vertical="center" shrinkToFit="1"/>
    </xf>
    <xf numFmtId="0" fontId="97" fillId="0" borderId="300" xfId="0" applyFont="1" applyFill="1" applyBorder="1" applyAlignment="1" applyProtection="1">
      <alignment horizontal="left" vertical="center" shrinkToFit="1"/>
    </xf>
    <xf numFmtId="0" fontId="97" fillId="0" borderId="305" xfId="0" applyFont="1" applyFill="1" applyBorder="1" applyAlignment="1" applyProtection="1">
      <alignment horizontal="left" vertical="center" shrinkToFit="1"/>
    </xf>
    <xf numFmtId="0" fontId="97" fillId="0" borderId="301" xfId="0" applyFont="1" applyFill="1" applyBorder="1" applyAlignment="1" applyProtection="1">
      <alignment horizontal="left" vertical="center" shrinkToFit="1"/>
    </xf>
    <xf numFmtId="0" fontId="10" fillId="0" borderId="184" xfId="0" applyFont="1" applyFill="1" applyBorder="1" applyAlignment="1" applyProtection="1">
      <alignment horizontal="left" vertical="top"/>
    </xf>
    <xf numFmtId="0" fontId="10" fillId="0" borderId="0" xfId="0" applyFont="1" applyFill="1" applyBorder="1" applyAlignment="1" applyProtection="1">
      <alignment horizontal="left" vertical="top"/>
    </xf>
    <xf numFmtId="0" fontId="10" fillId="0" borderId="185" xfId="0" applyFont="1" applyFill="1" applyBorder="1" applyAlignment="1" applyProtection="1">
      <alignment horizontal="left" vertical="top"/>
    </xf>
    <xf numFmtId="0" fontId="3" fillId="0" borderId="184" xfId="0" applyFont="1" applyFill="1" applyBorder="1" applyAlignment="1" applyProtection="1">
      <alignment horizontal="center" vertical="center"/>
    </xf>
    <xf numFmtId="0" fontId="30" fillId="2" borderId="186" xfId="0" applyFont="1" applyFill="1" applyBorder="1" applyAlignment="1" applyProtection="1">
      <alignment horizontal="center" vertical="center"/>
      <protection locked="0"/>
    </xf>
    <xf numFmtId="0" fontId="30" fillId="2" borderId="187"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xf>
    <xf numFmtId="0" fontId="4" fillId="0" borderId="178" xfId="0" applyFont="1" applyFill="1" applyBorder="1" applyAlignment="1" applyProtection="1">
      <alignment horizontal="center" vertical="center"/>
    </xf>
    <xf numFmtId="0" fontId="38" fillId="0" borderId="21" xfId="0" applyFont="1" applyFill="1" applyBorder="1" applyAlignment="1" applyProtection="1">
      <alignment horizontal="center" vertical="center"/>
    </xf>
    <xf numFmtId="0" fontId="38" fillId="0" borderId="177" xfId="0" applyFont="1" applyFill="1" applyBorder="1" applyAlignment="1" applyProtection="1">
      <alignment horizontal="center" vertical="center"/>
    </xf>
    <xf numFmtId="0" fontId="65" fillId="0" borderId="162" xfId="0" applyFont="1" applyFill="1" applyBorder="1" applyAlignment="1" applyProtection="1">
      <alignment horizontal="center" vertical="center"/>
    </xf>
    <xf numFmtId="0" fontId="65" fillId="0" borderId="163" xfId="0" applyFont="1" applyFill="1" applyBorder="1" applyAlignment="1" applyProtection="1">
      <alignment horizontal="center" vertical="center"/>
    </xf>
    <xf numFmtId="0" fontId="65" fillId="0" borderId="174" xfId="0" applyFont="1" applyFill="1" applyBorder="1" applyAlignment="1" applyProtection="1">
      <alignment horizontal="center" vertical="center"/>
    </xf>
    <xf numFmtId="38" fontId="28" fillId="2" borderId="87" xfId="1" applyFont="1" applyFill="1" applyBorder="1" applyAlignment="1" applyProtection="1">
      <alignment horizontal="center" vertical="center"/>
      <protection locked="0"/>
    </xf>
    <xf numFmtId="0" fontId="36" fillId="0" borderId="175" xfId="0" applyFont="1" applyFill="1" applyBorder="1" applyAlignment="1" applyProtection="1">
      <alignment horizontal="center" vertical="center"/>
    </xf>
    <xf numFmtId="0" fontId="36" fillId="0" borderId="87" xfId="0" applyFont="1" applyFill="1" applyBorder="1" applyAlignment="1" applyProtection="1">
      <alignment horizontal="center" vertical="center"/>
    </xf>
    <xf numFmtId="0" fontId="36" fillId="0" borderId="176" xfId="0" applyFont="1" applyFill="1" applyBorder="1" applyAlignment="1" applyProtection="1">
      <alignment horizontal="center" vertical="center"/>
    </xf>
    <xf numFmtId="0" fontId="3" fillId="0" borderId="179" xfId="0" applyFont="1" applyFill="1" applyBorder="1" applyAlignment="1" applyProtection="1">
      <alignment horizontal="left" vertical="center"/>
    </xf>
    <xf numFmtId="0" fontId="3" fillId="0" borderId="87" xfId="0" applyFont="1" applyFill="1" applyBorder="1" applyAlignment="1" applyProtection="1">
      <alignment horizontal="center" vertical="center"/>
    </xf>
    <xf numFmtId="0" fontId="3" fillId="0" borderId="21" xfId="0" applyFont="1" applyFill="1" applyBorder="1" applyAlignment="1" applyProtection="1">
      <alignment horizontal="center"/>
    </xf>
    <xf numFmtId="0" fontId="3" fillId="0" borderId="0" xfId="0" applyFont="1" applyFill="1" applyBorder="1" applyAlignment="1" applyProtection="1">
      <alignment horizontal="center"/>
    </xf>
    <xf numFmtId="0" fontId="37" fillId="0" borderId="0" xfId="0" applyFont="1" applyFill="1" applyBorder="1" applyAlignment="1" applyProtection="1">
      <alignment horizontal="center" vertical="center"/>
    </xf>
    <xf numFmtId="0" fontId="37" fillId="0" borderId="12"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131" fillId="0" borderId="0" xfId="0" applyFont="1" applyFill="1" applyAlignment="1" applyProtection="1">
      <alignment horizontal="left" vertical="center"/>
    </xf>
    <xf numFmtId="0" fontId="131" fillId="0" borderId="0" xfId="0" applyFont="1" applyFill="1" applyBorder="1" applyAlignment="1" applyProtection="1">
      <alignment horizontal="left" vertical="center"/>
    </xf>
    <xf numFmtId="0" fontId="3" fillId="0" borderId="197" xfId="0" applyFont="1" applyFill="1" applyBorder="1" applyAlignment="1" applyProtection="1">
      <alignment horizontal="center"/>
    </xf>
    <xf numFmtId="0" fontId="65" fillId="0" borderId="199" xfId="0" applyFont="1" applyFill="1" applyBorder="1" applyAlignment="1" applyProtection="1">
      <alignment horizontal="center" vertical="center"/>
    </xf>
    <xf numFmtId="0" fontId="55" fillId="0" borderId="0" xfId="0" applyFont="1" applyFill="1" applyBorder="1" applyAlignment="1" applyProtection="1">
      <alignment horizontal="center" vertical="center"/>
    </xf>
    <xf numFmtId="38" fontId="16" fillId="0" borderId="87" xfId="0" applyNumberFormat="1" applyFont="1" applyFill="1" applyBorder="1" applyAlignment="1" applyProtection="1">
      <alignment horizontal="right" vertical="center"/>
    </xf>
    <xf numFmtId="0" fontId="27" fillId="0" borderId="87" xfId="0" applyFont="1" applyFill="1" applyBorder="1" applyAlignment="1" applyProtection="1">
      <alignment horizontal="center" vertical="center"/>
    </xf>
    <xf numFmtId="0" fontId="71" fillId="0" borderId="42" xfId="0" applyFont="1" applyFill="1" applyBorder="1" applyAlignment="1" applyProtection="1">
      <alignment horizontal="center" vertical="center"/>
    </xf>
    <xf numFmtId="0" fontId="71" fillId="0" borderId="1" xfId="0" applyFont="1" applyFill="1" applyBorder="1" applyAlignment="1" applyProtection="1">
      <alignment horizontal="center" vertical="center"/>
    </xf>
    <xf numFmtId="0" fontId="71" fillId="0" borderId="2" xfId="0" applyFont="1" applyFill="1" applyBorder="1" applyAlignment="1" applyProtection="1">
      <alignment horizontal="center" vertical="center"/>
    </xf>
    <xf numFmtId="0" fontId="37" fillId="0" borderId="87" xfId="0" applyFont="1" applyFill="1" applyBorder="1" applyAlignment="1" applyProtection="1">
      <alignment horizontal="center" vertical="center"/>
    </xf>
    <xf numFmtId="0" fontId="28" fillId="2" borderId="87" xfId="0" applyFont="1" applyFill="1" applyBorder="1" applyAlignment="1" applyProtection="1">
      <alignment horizontal="center" vertical="center"/>
      <protection locked="0"/>
    </xf>
    <xf numFmtId="0" fontId="65" fillId="0" borderId="164" xfId="0" applyFont="1" applyFill="1" applyBorder="1" applyAlignment="1" applyProtection="1">
      <alignment horizontal="center" vertical="center"/>
    </xf>
    <xf numFmtId="38" fontId="12" fillId="3" borderId="165" xfId="1" applyFont="1" applyFill="1" applyBorder="1" applyAlignment="1" applyProtection="1">
      <alignment horizontal="center" vertical="center"/>
    </xf>
    <xf numFmtId="38" fontId="12" fillId="3" borderId="166" xfId="1" applyFont="1" applyFill="1" applyBorder="1" applyAlignment="1" applyProtection="1">
      <alignment horizontal="center" vertical="center"/>
    </xf>
    <xf numFmtId="38" fontId="70" fillId="3" borderId="19" xfId="1" applyFont="1" applyFill="1" applyBorder="1" applyAlignment="1" applyProtection="1">
      <alignment horizontal="center" vertical="center"/>
    </xf>
    <xf numFmtId="0" fontId="40" fillId="2" borderId="0" xfId="0" applyFont="1" applyFill="1" applyBorder="1" applyAlignment="1" applyProtection="1">
      <alignment horizontal="center" vertical="center"/>
      <protection locked="0"/>
    </xf>
    <xf numFmtId="38" fontId="12" fillId="0" borderId="159" xfId="1" applyFont="1" applyFill="1" applyBorder="1" applyAlignment="1" applyProtection="1">
      <alignment vertical="center"/>
    </xf>
    <xf numFmtId="0" fontId="0" fillId="0" borderId="160" xfId="0" applyBorder="1" applyAlignment="1">
      <alignment vertical="center"/>
    </xf>
    <xf numFmtId="0" fontId="0" fillId="0" borderId="161" xfId="0" applyBorder="1" applyAlignment="1">
      <alignment vertical="center"/>
    </xf>
    <xf numFmtId="0" fontId="0" fillId="0" borderId="156" xfId="0" applyBorder="1" applyAlignment="1">
      <alignment vertical="center"/>
    </xf>
    <xf numFmtId="0" fontId="0" fillId="0" borderId="157" xfId="0" applyBorder="1" applyAlignment="1">
      <alignment vertical="center"/>
    </xf>
    <xf numFmtId="38" fontId="12" fillId="0" borderId="307" xfId="1" applyFont="1" applyFill="1" applyBorder="1" applyAlignment="1" applyProtection="1">
      <alignment vertical="center"/>
    </xf>
    <xf numFmtId="0" fontId="0" fillId="0" borderId="308" xfId="0" applyBorder="1" applyAlignment="1">
      <alignment vertical="center"/>
    </xf>
    <xf numFmtId="0" fontId="0" fillId="0" borderId="310" xfId="0" applyBorder="1" applyAlignment="1">
      <alignment vertical="center"/>
    </xf>
    <xf numFmtId="0" fontId="68" fillId="0" borderId="308" xfId="0" applyFont="1" applyBorder="1" applyAlignment="1">
      <alignment vertical="center"/>
    </xf>
    <xf numFmtId="0" fontId="0" fillId="0" borderId="309" xfId="0" applyBorder="1" applyAlignment="1">
      <alignment vertical="center"/>
    </xf>
    <xf numFmtId="38" fontId="70" fillId="3" borderId="76" xfId="1" applyFont="1" applyFill="1" applyBorder="1" applyAlignment="1" applyProtection="1">
      <alignment horizontal="center" vertical="center"/>
    </xf>
    <xf numFmtId="38" fontId="0" fillId="0" borderId="119" xfId="1" applyFont="1" applyBorder="1" applyAlignment="1">
      <alignment horizontal="center" vertical="center"/>
    </xf>
    <xf numFmtId="38" fontId="0" fillId="0" borderId="120" xfId="1" applyFont="1" applyBorder="1" applyAlignment="1">
      <alignment horizontal="center" vertical="center"/>
    </xf>
    <xf numFmtId="38" fontId="0" fillId="0" borderId="116" xfId="1" applyFont="1" applyBorder="1" applyAlignment="1">
      <alignment horizontal="center" vertical="center"/>
    </xf>
    <xf numFmtId="38" fontId="0" fillId="0" borderId="240" xfId="1" applyFont="1" applyBorder="1" applyAlignment="1">
      <alignment horizontal="center" vertical="center"/>
    </xf>
    <xf numFmtId="38" fontId="0" fillId="0" borderId="250" xfId="1" applyFont="1" applyBorder="1" applyAlignment="1">
      <alignment horizontal="center" vertical="center"/>
    </xf>
    <xf numFmtId="38" fontId="44" fillId="0" borderId="273" xfId="1" applyFont="1" applyBorder="1" applyAlignment="1">
      <alignment horizontal="center" vertical="center"/>
    </xf>
    <xf numFmtId="38" fontId="44" fillId="0" borderId="274" xfId="1" applyFont="1" applyBorder="1" applyAlignment="1">
      <alignment horizontal="center" vertical="center"/>
    </xf>
    <xf numFmtId="38" fontId="44" fillId="0" borderId="87" xfId="1" applyFont="1" applyBorder="1" applyAlignment="1">
      <alignment horizontal="center" vertical="center"/>
    </xf>
    <xf numFmtId="38" fontId="44" fillId="0" borderId="179" xfId="1" applyFont="1" applyBorder="1" applyAlignment="1">
      <alignment horizontal="center" vertical="center"/>
    </xf>
    <xf numFmtId="38" fontId="102" fillId="0" borderId="275" xfId="1" applyFont="1" applyBorder="1" applyAlignment="1">
      <alignment horizontal="center" vertical="center"/>
    </xf>
    <xf numFmtId="38" fontId="102" fillId="0" borderId="273" xfId="1" applyFont="1" applyBorder="1" applyAlignment="1">
      <alignment horizontal="center" vertical="center"/>
    </xf>
    <xf numFmtId="38" fontId="102" fillId="0" borderId="86" xfId="1" applyFont="1" applyBorder="1" applyAlignment="1">
      <alignment horizontal="center" vertical="center"/>
    </xf>
    <xf numFmtId="38" fontId="102" fillId="0" borderId="87" xfId="1" applyFont="1" applyBorder="1" applyAlignment="1">
      <alignment horizontal="center" vertical="center"/>
    </xf>
    <xf numFmtId="38" fontId="94" fillId="0" borderId="276" xfId="1" applyFont="1" applyBorder="1" applyAlignment="1">
      <alignment horizontal="center" vertical="center"/>
    </xf>
    <xf numFmtId="38" fontId="94" fillId="0" borderId="277" xfId="1" applyFont="1" applyBorder="1" applyAlignment="1">
      <alignment horizontal="center" vertical="center"/>
    </xf>
    <xf numFmtId="38" fontId="94" fillId="0" borderId="278" xfId="1" applyFont="1" applyBorder="1" applyAlignment="1">
      <alignment horizontal="center" vertical="center"/>
    </xf>
    <xf numFmtId="38" fontId="101" fillId="0" borderId="0" xfId="1" applyFont="1" applyAlignment="1">
      <alignment horizontal="left" vertical="top" wrapText="1"/>
    </xf>
    <xf numFmtId="38" fontId="101" fillId="0" borderId="0" xfId="1" applyFont="1" applyAlignment="1">
      <alignment horizontal="left" vertical="top"/>
    </xf>
    <xf numFmtId="38" fontId="93" fillId="0" borderId="109" xfId="1" applyFont="1" applyBorder="1" applyAlignment="1">
      <alignment horizontal="center" shrinkToFit="1"/>
    </xf>
    <xf numFmtId="38" fontId="93" fillId="0" borderId="0" xfId="1" applyFont="1" applyAlignment="1">
      <alignment horizontal="left" shrinkToFit="1"/>
    </xf>
    <xf numFmtId="38" fontId="0" fillId="0" borderId="271" xfId="1" applyFont="1" applyBorder="1" applyAlignment="1">
      <alignment horizontal="right" vertical="center"/>
    </xf>
    <xf numFmtId="38" fontId="0" fillId="0" borderId="268" xfId="1" applyFont="1" applyBorder="1" applyAlignment="1">
      <alignment horizontal="right" vertical="center"/>
    </xf>
    <xf numFmtId="38" fontId="0" fillId="0" borderId="269" xfId="1" applyFont="1" applyBorder="1" applyAlignment="1">
      <alignment horizontal="right" vertical="center"/>
    </xf>
    <xf numFmtId="38" fontId="0" fillId="0" borderId="266" xfId="1" applyFont="1" applyBorder="1" applyAlignment="1">
      <alignment horizontal="right" vertical="center"/>
    </xf>
    <xf numFmtId="38" fontId="0" fillId="0" borderId="6" xfId="1" applyFont="1" applyBorder="1" applyAlignment="1">
      <alignment horizontal="right" vertical="center"/>
    </xf>
    <xf numFmtId="38" fontId="0" fillId="0" borderId="260" xfId="1" applyFont="1" applyBorder="1" applyAlignment="1">
      <alignment horizontal="right" vertical="center"/>
    </xf>
    <xf numFmtId="38" fontId="0" fillId="0" borderId="266" xfId="1" applyFont="1" applyBorder="1" applyAlignment="1">
      <alignment horizontal="center" vertical="center"/>
    </xf>
    <xf numFmtId="38" fontId="0" fillId="0" borderId="260" xfId="1" applyFont="1" applyBorder="1" applyAlignment="1">
      <alignment horizontal="center" vertical="center"/>
    </xf>
    <xf numFmtId="38" fontId="0" fillId="0" borderId="271" xfId="1" applyFont="1" applyBorder="1" applyAlignment="1">
      <alignment horizontal="center" vertical="center"/>
    </xf>
    <xf numFmtId="38" fontId="0" fillId="0" borderId="269" xfId="1" applyFont="1" applyBorder="1" applyAlignment="1">
      <alignment horizontal="center" vertical="center"/>
    </xf>
    <xf numFmtId="38" fontId="95" fillId="0" borderId="109" xfId="1" applyFont="1" applyBorder="1" applyAlignment="1">
      <alignment horizontal="center"/>
    </xf>
    <xf numFmtId="38" fontId="0" fillId="0" borderId="259" xfId="1" applyFont="1" applyBorder="1" applyAlignment="1">
      <alignment horizontal="center" vertical="center"/>
    </xf>
    <xf numFmtId="38" fontId="0" fillId="0" borderId="6" xfId="1" applyFont="1" applyBorder="1" applyAlignment="1">
      <alignment horizontal="center" vertical="center"/>
    </xf>
    <xf numFmtId="38" fontId="0" fillId="0" borderId="16" xfId="1" applyFont="1" applyBorder="1" applyAlignment="1">
      <alignment horizontal="center" vertical="center"/>
    </xf>
    <xf numFmtId="38" fontId="0" fillId="0" borderId="59" xfId="1" applyFont="1" applyBorder="1" applyAlignment="1">
      <alignment horizontal="center" vertical="center"/>
    </xf>
    <xf numFmtId="38" fontId="0" fillId="0" borderId="70" xfId="1" applyFont="1" applyBorder="1" applyAlignment="1" applyProtection="1">
      <alignment horizontal="right" vertical="center"/>
      <protection locked="0"/>
    </xf>
    <xf numFmtId="38" fontId="0" fillId="0" borderId="10" xfId="1" applyFont="1" applyBorder="1" applyAlignment="1" applyProtection="1">
      <alignment horizontal="right" vertical="center"/>
      <protection locked="0"/>
    </xf>
    <xf numFmtId="38" fontId="0" fillId="0" borderId="72" xfId="1" applyFont="1" applyBorder="1" applyAlignment="1" applyProtection="1">
      <alignment horizontal="right" vertical="center"/>
      <protection locked="0"/>
    </xf>
    <xf numFmtId="38" fontId="0" fillId="0" borderId="15" xfId="1" applyFont="1" applyBorder="1" applyAlignment="1" applyProtection="1">
      <alignment horizontal="right" vertical="center"/>
      <protection locked="0"/>
    </xf>
    <xf numFmtId="38" fontId="94" fillId="0" borderId="0" xfId="1" applyFont="1" applyAlignment="1">
      <alignment horizontal="left" vertical="top"/>
    </xf>
    <xf numFmtId="38" fontId="0" fillId="0" borderId="270" xfId="1" applyFont="1" applyBorder="1" applyAlignment="1">
      <alignment horizontal="center" vertical="center"/>
    </xf>
    <xf numFmtId="38" fontId="0" fillId="0" borderId="268" xfId="1" applyFont="1" applyBorder="1" applyAlignment="1">
      <alignment horizontal="center" vertical="center"/>
    </xf>
    <xf numFmtId="38" fontId="0" fillId="0" borderId="272" xfId="1" applyFont="1" applyBorder="1" applyAlignment="1">
      <alignment horizontal="center" vertical="center"/>
    </xf>
    <xf numFmtId="38" fontId="44" fillId="0" borderId="20" xfId="1" applyFont="1" applyBorder="1" applyAlignment="1">
      <alignment horizontal="center" vertical="center"/>
    </xf>
    <xf numFmtId="38" fontId="44" fillId="0" borderId="40" xfId="1" applyFont="1" applyBorder="1" applyAlignment="1">
      <alignment horizontal="center" vertical="center"/>
    </xf>
    <xf numFmtId="38" fontId="44" fillId="0" borderId="43" xfId="1" applyFont="1" applyBorder="1" applyAlignment="1">
      <alignment horizontal="center" vertical="center"/>
    </xf>
    <xf numFmtId="38" fontId="44" fillId="0" borderId="4" xfId="1" applyFont="1" applyBorder="1" applyAlignment="1">
      <alignment horizontal="center" vertical="center"/>
    </xf>
    <xf numFmtId="38" fontId="44" fillId="0" borderId="24" xfId="1" applyFont="1" applyBorder="1" applyAlignment="1">
      <alignment horizontal="center" vertical="center"/>
    </xf>
    <xf numFmtId="38" fontId="44" fillId="0" borderId="25" xfId="1" applyFont="1" applyBorder="1" applyAlignment="1">
      <alignment horizontal="center" vertical="center"/>
    </xf>
    <xf numFmtId="38" fontId="0" fillId="0" borderId="21" xfId="1" applyFont="1" applyBorder="1" applyAlignment="1">
      <alignment horizontal="left" vertical="center"/>
    </xf>
    <xf numFmtId="38" fontId="0" fillId="0" borderId="40" xfId="1" applyFont="1" applyBorder="1" applyAlignment="1">
      <alignment horizontal="left" vertical="center"/>
    </xf>
    <xf numFmtId="38" fontId="0" fillId="0" borderId="0" xfId="1" applyFont="1" applyBorder="1" applyAlignment="1">
      <alignment horizontal="left" vertical="center"/>
    </xf>
    <xf numFmtId="38" fontId="0" fillId="0" borderId="4" xfId="1" applyFont="1" applyBorder="1" applyAlignment="1">
      <alignment horizontal="left" vertical="center"/>
    </xf>
    <xf numFmtId="38" fontId="0" fillId="0" borderId="12" xfId="1" applyFont="1" applyBorder="1" applyAlignment="1">
      <alignment horizontal="left" vertical="center"/>
    </xf>
    <xf numFmtId="38" fontId="0" fillId="0" borderId="25" xfId="1" applyFont="1" applyBorder="1" applyAlignment="1">
      <alignment horizontal="left" vertical="center"/>
    </xf>
    <xf numFmtId="38" fontId="0" fillId="0" borderId="20" xfId="1" applyFont="1" applyBorder="1" applyAlignment="1">
      <alignment horizontal="center" vertical="center"/>
    </xf>
    <xf numFmtId="38" fontId="0" fillId="0" borderId="21" xfId="1" applyFont="1" applyBorder="1" applyAlignment="1">
      <alignment horizontal="center" vertical="center"/>
    </xf>
    <xf numFmtId="38" fontId="0" fillId="0" borderId="43" xfId="1" applyFont="1" applyBorder="1" applyAlignment="1">
      <alignment horizontal="center" vertical="center"/>
    </xf>
    <xf numFmtId="38" fontId="0" fillId="0" borderId="0" xfId="1" applyFont="1" applyBorder="1" applyAlignment="1">
      <alignment horizontal="center" vertical="center"/>
    </xf>
    <xf numFmtId="38" fontId="0" fillId="0" borderId="24" xfId="1" applyFont="1" applyBorder="1" applyAlignment="1">
      <alignment horizontal="center" vertical="center"/>
    </xf>
    <xf numFmtId="38" fontId="0" fillId="0" borderId="12" xfId="1" applyFont="1" applyBorder="1" applyAlignment="1">
      <alignment horizontal="center" vertical="center"/>
    </xf>
    <xf numFmtId="38" fontId="0" fillId="0" borderId="11" xfId="1" applyFont="1" applyBorder="1" applyAlignment="1">
      <alignment horizontal="center" vertical="center"/>
    </xf>
    <xf numFmtId="38" fontId="0" fillId="0" borderId="94" xfId="1" applyFont="1" applyBorder="1" applyAlignment="1">
      <alignment horizontal="center" vertical="center"/>
    </xf>
    <xf numFmtId="38" fontId="0" fillId="0" borderId="72" xfId="1" applyFont="1" applyBorder="1" applyAlignment="1">
      <alignment horizontal="center" vertical="center"/>
    </xf>
    <xf numFmtId="38" fontId="0" fillId="0" borderId="95" xfId="1" applyFont="1" applyBorder="1" applyAlignment="1">
      <alignment horizontal="center" vertical="center"/>
    </xf>
    <xf numFmtId="38" fontId="0" fillId="0" borderId="96" xfId="1" applyFont="1" applyBorder="1" applyAlignment="1">
      <alignment horizontal="center" vertical="center"/>
    </xf>
    <xf numFmtId="38" fontId="0" fillId="0" borderId="93" xfId="1" applyFont="1" applyBorder="1" applyAlignment="1">
      <alignment horizontal="center" vertical="center"/>
    </xf>
    <xf numFmtId="38" fontId="0" fillId="0" borderId="70" xfId="1" applyFont="1" applyBorder="1" applyAlignment="1">
      <alignment horizontal="center" vertical="center"/>
    </xf>
    <xf numFmtId="38" fontId="0" fillId="0" borderId="264" xfId="1" applyFont="1" applyBorder="1" applyAlignment="1">
      <alignment horizontal="center" vertical="center"/>
    </xf>
    <xf numFmtId="38" fontId="0" fillId="0" borderId="262" xfId="1" applyFont="1" applyBorder="1" applyAlignment="1">
      <alignment horizontal="center" vertical="center"/>
    </xf>
    <xf numFmtId="38" fontId="0" fillId="0" borderId="265" xfId="1" applyFont="1" applyBorder="1" applyAlignment="1">
      <alignment horizontal="center" vertical="center"/>
    </xf>
    <xf numFmtId="38" fontId="0" fillId="0" borderId="96" xfId="1" applyFont="1" applyBorder="1" applyAlignment="1" applyProtection="1">
      <alignment horizontal="right" vertical="center"/>
      <protection locked="0"/>
    </xf>
    <xf numFmtId="38" fontId="0" fillId="0" borderId="258" xfId="1" applyFont="1" applyBorder="1" applyAlignment="1" applyProtection="1">
      <alignment horizontal="right" vertical="center"/>
      <protection locked="0"/>
    </xf>
    <xf numFmtId="38" fontId="1" fillId="9" borderId="94" xfId="1" applyFont="1" applyFill="1" applyBorder="1" applyAlignment="1">
      <alignment horizontal="center" vertical="center"/>
    </xf>
    <xf numFmtId="38" fontId="1" fillId="9" borderId="72" xfId="1" applyFont="1" applyFill="1" applyBorder="1" applyAlignment="1">
      <alignment horizontal="center" vertical="center"/>
    </xf>
    <xf numFmtId="38" fontId="1" fillId="9" borderId="95" xfId="1" applyFont="1" applyFill="1" applyBorder="1" applyAlignment="1">
      <alignment horizontal="center" vertical="center"/>
    </xf>
    <xf numFmtId="38" fontId="1" fillId="9" borderId="96" xfId="1" applyFont="1" applyFill="1" applyBorder="1" applyAlignment="1">
      <alignment horizontal="center" vertical="center"/>
    </xf>
    <xf numFmtId="38" fontId="1" fillId="9" borderId="72" xfId="1" applyFont="1" applyFill="1" applyBorder="1" applyAlignment="1">
      <alignment horizontal="right" vertical="center"/>
    </xf>
    <xf numFmtId="38" fontId="1" fillId="9" borderId="15" xfId="1" applyFont="1" applyFill="1" applyBorder="1" applyAlignment="1">
      <alignment horizontal="right" vertical="center"/>
    </xf>
    <xf numFmtId="38" fontId="1" fillId="9" borderId="96" xfId="1" applyFont="1" applyFill="1" applyBorder="1" applyAlignment="1">
      <alignment horizontal="right" vertical="center"/>
    </xf>
    <xf numFmtId="38" fontId="1" fillId="9" borderId="258" xfId="1" applyFont="1" applyFill="1" applyBorder="1" applyAlignment="1">
      <alignment horizontal="right" vertical="center"/>
    </xf>
    <xf numFmtId="38" fontId="1" fillId="9" borderId="16" xfId="1" applyFont="1" applyFill="1" applyBorder="1" applyAlignment="1">
      <alignment horizontal="center" vertical="center"/>
    </xf>
    <xf numFmtId="38" fontId="1" fillId="9" borderId="59" xfId="1" applyFont="1" applyFill="1" applyBorder="1" applyAlignment="1">
      <alignment horizontal="center" vertical="center"/>
    </xf>
    <xf numFmtId="38" fontId="0" fillId="0" borderId="249" xfId="1" applyFont="1" applyBorder="1" applyAlignment="1">
      <alignment horizontal="center" vertical="center"/>
    </xf>
    <xf numFmtId="38" fontId="0" fillId="0" borderId="178" xfId="1" applyFont="1" applyBorder="1" applyAlignment="1">
      <alignment horizontal="center" vertical="center"/>
    </xf>
    <xf numFmtId="38" fontId="0" fillId="0" borderId="179" xfId="1" applyFont="1" applyBorder="1" applyAlignment="1">
      <alignment horizontal="center" vertical="center"/>
    </xf>
    <xf numFmtId="38" fontId="0" fillId="0" borderId="247" xfId="1" applyFont="1" applyBorder="1" applyAlignment="1">
      <alignment horizontal="center" vertical="center"/>
    </xf>
    <xf numFmtId="38" fontId="0" fillId="0" borderId="197" xfId="1" applyFont="1" applyBorder="1" applyAlignment="1">
      <alignment horizontal="center" vertical="center"/>
    </xf>
    <xf numFmtId="38" fontId="0" fillId="0" borderId="248" xfId="1" applyFont="1" applyBorder="1" applyAlignment="1">
      <alignment horizontal="center" vertical="center"/>
    </xf>
    <xf numFmtId="38" fontId="93" fillId="0" borderId="87" xfId="1" applyFont="1" applyBorder="1" applyAlignment="1">
      <alignment horizontal="center" vertical="center"/>
    </xf>
    <xf numFmtId="38" fontId="0" fillId="0" borderId="196" xfId="1" applyFont="1" applyBorder="1" applyAlignment="1">
      <alignment horizontal="right" vertical="center"/>
    </xf>
    <xf numFmtId="38" fontId="0" fillId="0" borderId="197" xfId="1" applyFont="1" applyBorder="1" applyAlignment="1">
      <alignment horizontal="right" vertical="center"/>
    </xf>
    <xf numFmtId="38" fontId="0" fillId="0" borderId="167" xfId="1" applyFont="1" applyBorder="1" applyAlignment="1">
      <alignment horizontal="right" vertical="center"/>
    </xf>
    <xf numFmtId="38" fontId="0" fillId="0" borderId="0" xfId="1" applyFont="1" applyBorder="1" applyAlignment="1">
      <alignment horizontal="right" vertical="center"/>
    </xf>
    <xf numFmtId="38" fontId="0" fillId="0" borderId="175" xfId="1" applyFont="1" applyBorder="1" applyAlignment="1">
      <alignment horizontal="right" vertical="center"/>
    </xf>
    <xf numFmtId="38" fontId="0" fillId="0" borderId="87" xfId="1" applyFont="1" applyBorder="1" applyAlignment="1">
      <alignment horizontal="right" vertical="center"/>
    </xf>
    <xf numFmtId="38" fontId="94" fillId="0" borderId="116" xfId="1" applyFont="1" applyBorder="1" applyAlignment="1">
      <alignment horizontal="center" vertical="center"/>
    </xf>
    <xf numFmtId="38" fontId="94" fillId="0" borderId="240" xfId="1" applyFont="1" applyBorder="1" applyAlignment="1">
      <alignment horizontal="center" vertical="center"/>
    </xf>
    <xf numFmtId="38" fontId="94" fillId="0" borderId="250" xfId="1" applyFont="1" applyBorder="1" applyAlignment="1">
      <alignment horizontal="center" vertical="center"/>
    </xf>
    <xf numFmtId="38" fontId="94" fillId="0" borderId="132" xfId="1" applyFont="1" applyBorder="1" applyAlignment="1">
      <alignment horizontal="center" vertical="center"/>
    </xf>
    <xf numFmtId="38" fontId="94" fillId="0" borderId="235" xfId="1" applyFont="1" applyBorder="1" applyAlignment="1">
      <alignment horizontal="center" vertical="center"/>
    </xf>
    <xf numFmtId="38" fontId="94" fillId="0" borderId="227" xfId="1" applyFont="1" applyBorder="1" applyAlignment="1">
      <alignment horizontal="center" vertical="center"/>
    </xf>
    <xf numFmtId="38" fontId="94" fillId="0" borderId="117" xfId="1" applyFont="1" applyBorder="1" applyAlignment="1">
      <alignment horizontal="center" vertical="center"/>
    </xf>
    <xf numFmtId="38" fontId="94" fillId="0" borderId="251" xfId="1" applyFont="1" applyBorder="1" applyAlignment="1">
      <alignment horizontal="center" vertical="center"/>
    </xf>
    <xf numFmtId="38" fontId="94" fillId="0" borderId="252" xfId="1" applyFont="1" applyBorder="1" applyAlignment="1">
      <alignment horizontal="center" vertical="center"/>
    </xf>
    <xf numFmtId="38" fontId="85" fillId="0" borderId="146" xfId="1" applyFont="1" applyBorder="1" applyAlignment="1">
      <alignment vertical="center"/>
    </xf>
    <xf numFmtId="38" fontId="85" fillId="0" borderId="240" xfId="1" applyFont="1" applyBorder="1" applyAlignment="1">
      <alignment vertical="center"/>
    </xf>
    <xf numFmtId="38" fontId="85" fillId="0" borderId="225" xfId="1" applyFont="1" applyBorder="1" applyAlignment="1">
      <alignment horizontal="right" vertical="center"/>
    </xf>
    <xf numFmtId="38" fontId="85" fillId="0" borderId="235" xfId="1" applyFont="1" applyBorder="1" applyAlignment="1">
      <alignment horizontal="right" vertical="center"/>
    </xf>
    <xf numFmtId="38" fontId="85" fillId="0" borderId="147" xfId="1" applyFont="1" applyBorder="1" applyAlignment="1">
      <alignment horizontal="right" vertical="center"/>
    </xf>
    <xf numFmtId="38" fontId="85" fillId="0" borderId="251" xfId="1" applyFont="1" applyBorder="1" applyAlignment="1">
      <alignment horizontal="right" vertical="center"/>
    </xf>
    <xf numFmtId="38" fontId="0" fillId="0" borderId="261" xfId="1" applyFont="1" applyBorder="1" applyAlignment="1">
      <alignment horizontal="center" vertical="center"/>
    </xf>
    <xf numFmtId="38" fontId="0" fillId="0" borderId="263" xfId="1" applyFont="1" applyBorder="1" applyAlignment="1">
      <alignment horizontal="center" vertical="center"/>
    </xf>
    <xf numFmtId="38" fontId="0" fillId="0" borderId="267" xfId="1" applyFont="1" applyBorder="1" applyAlignment="1">
      <alignment horizontal="center" vertical="center"/>
    </xf>
    <xf numFmtId="38" fontId="0" fillId="0" borderId="12" xfId="1" applyFont="1" applyBorder="1" applyAlignment="1" applyProtection="1">
      <alignment horizontal="center"/>
      <protection locked="0"/>
    </xf>
    <xf numFmtId="38" fontId="0" fillId="0" borderId="247" xfId="1" applyFont="1" applyBorder="1" applyAlignment="1">
      <alignment horizontal="center" vertical="center" shrinkToFit="1"/>
    </xf>
    <xf numFmtId="38" fontId="0" fillId="0" borderId="197" xfId="1" applyFont="1" applyBorder="1" applyAlignment="1">
      <alignment horizontal="center" vertical="center" shrinkToFit="1"/>
    </xf>
    <xf numFmtId="38" fontId="0" fillId="0" borderId="248" xfId="1" applyFont="1" applyBorder="1" applyAlignment="1">
      <alignment horizontal="center" vertical="center" shrinkToFit="1"/>
    </xf>
    <xf numFmtId="38" fontId="0" fillId="0" borderId="0" xfId="1" applyFont="1" applyBorder="1" applyAlignment="1">
      <alignment horizontal="center" vertical="center" shrinkToFit="1"/>
    </xf>
    <xf numFmtId="38" fontId="0" fillId="0" borderId="86" xfId="1" applyFont="1" applyBorder="1" applyAlignment="1">
      <alignment horizontal="center" vertical="center" shrinkToFit="1"/>
    </xf>
    <xf numFmtId="38" fontId="0" fillId="0" borderId="87" xfId="1" applyFont="1" applyBorder="1" applyAlignment="1">
      <alignment horizontal="center" vertical="center" shrinkToFit="1"/>
    </xf>
    <xf numFmtId="38" fontId="0" fillId="0" borderId="0" xfId="1" applyFont="1" applyAlignment="1">
      <alignment horizontal="center" vertical="center"/>
    </xf>
    <xf numFmtId="38" fontId="0" fillId="0" borderId="0" xfId="1" applyFont="1" applyAlignment="1">
      <alignment horizontal="right"/>
    </xf>
    <xf numFmtId="38" fontId="0" fillId="0" borderId="0" xfId="1" applyFont="1" applyAlignment="1">
      <alignment horizontal="right" vertical="center"/>
    </xf>
    <xf numFmtId="38" fontId="0" fillId="0" borderId="87" xfId="1" applyFont="1" applyBorder="1" applyAlignment="1">
      <alignment horizontal="center" vertical="center"/>
    </xf>
    <xf numFmtId="38" fontId="68" fillId="0" borderId="253" xfId="1" applyFont="1" applyBorder="1" applyAlignment="1">
      <alignment horizontal="right" vertical="center"/>
    </xf>
    <xf numFmtId="38" fontId="68" fillId="0" borderId="197" xfId="1" applyFont="1" applyBorder="1" applyAlignment="1">
      <alignment horizontal="right" vertical="center"/>
    </xf>
    <xf numFmtId="38" fontId="68" fillId="0" borderId="254" xfId="1" applyFont="1" applyBorder="1" applyAlignment="1">
      <alignment horizontal="right" vertical="center"/>
    </xf>
    <xf numFmtId="38" fontId="68" fillId="0" borderId="0" xfId="1" applyFont="1" applyBorder="1" applyAlignment="1">
      <alignment horizontal="right" vertical="center"/>
    </xf>
    <xf numFmtId="38" fontId="68" fillId="0" borderId="255" xfId="1" applyFont="1" applyBorder="1" applyAlignment="1">
      <alignment horizontal="right" vertical="center"/>
    </xf>
    <xf numFmtId="38" fontId="68" fillId="0" borderId="87" xfId="1" applyFont="1" applyBorder="1" applyAlignment="1">
      <alignment horizontal="right" vertical="center"/>
    </xf>
    <xf numFmtId="38" fontId="0" fillId="0" borderId="256" xfId="1" applyFont="1" applyBorder="1" applyAlignment="1">
      <alignment horizontal="center" vertical="center" shrinkToFit="1"/>
    </xf>
    <xf numFmtId="38" fontId="0" fillId="0" borderId="257" xfId="1" applyFont="1" applyBorder="1" applyAlignment="1">
      <alignment horizontal="center" vertical="center" shrinkToFit="1"/>
    </xf>
    <xf numFmtId="38" fontId="44" fillId="0" borderId="197" xfId="1" applyFont="1" applyBorder="1" applyAlignment="1">
      <alignment horizontal="right" vertical="center"/>
    </xf>
    <xf numFmtId="38" fontId="44" fillId="0" borderId="0" xfId="1" applyFont="1" applyBorder="1" applyAlignment="1">
      <alignment horizontal="right" vertical="center"/>
    </xf>
    <xf numFmtId="38" fontId="44" fillId="0" borderId="87" xfId="1" applyFont="1" applyBorder="1" applyAlignment="1">
      <alignment horizontal="right" vertical="center"/>
    </xf>
    <xf numFmtId="38" fontId="0" fillId="0" borderId="253" xfId="1" applyFont="1" applyBorder="1" applyAlignment="1">
      <alignment horizontal="right" vertical="center"/>
    </xf>
    <xf numFmtId="38" fontId="0" fillId="0" borderId="254" xfId="1" applyFont="1" applyBorder="1" applyAlignment="1">
      <alignment horizontal="right" vertical="center"/>
    </xf>
    <xf numFmtId="38" fontId="0" fillId="0" borderId="255" xfId="1" applyFont="1" applyBorder="1" applyAlignment="1">
      <alignment horizontal="right" vertical="center"/>
    </xf>
    <xf numFmtId="0" fontId="111" fillId="0" borderId="0" xfId="0" applyFont="1" applyFill="1" applyBorder="1" applyAlignment="1">
      <alignment horizontal="left" vertical="center" wrapText="1"/>
    </xf>
    <xf numFmtId="0" fontId="127" fillId="0" borderId="0" xfId="0" applyFont="1" applyFill="1" applyBorder="1" applyAlignment="1">
      <alignment horizontal="center" vertical="center"/>
    </xf>
    <xf numFmtId="38" fontId="8" fillId="0" borderId="38" xfId="1" applyFont="1" applyFill="1" applyBorder="1" applyAlignment="1" applyProtection="1">
      <alignment horizontal="center" vertical="center"/>
    </xf>
    <xf numFmtId="38" fontId="8" fillId="0" borderId="41" xfId="1" applyFont="1" applyFill="1" applyBorder="1" applyAlignment="1" applyProtection="1">
      <alignment horizontal="center" vertical="center"/>
    </xf>
    <xf numFmtId="38" fontId="8" fillId="0" borderId="181" xfId="1" applyFont="1" applyFill="1" applyBorder="1" applyAlignment="1" applyProtection="1">
      <alignment horizontal="center" vertical="center"/>
    </xf>
    <xf numFmtId="38" fontId="8" fillId="0" borderId="25" xfId="1" applyFont="1" applyFill="1" applyBorder="1" applyAlignment="1" applyProtection="1">
      <alignment horizontal="center" vertical="center"/>
    </xf>
    <xf numFmtId="38" fontId="3" fillId="0" borderId="0" xfId="0" applyNumberFormat="1" applyFont="1" applyFill="1" applyBorder="1" applyAlignment="1" applyProtection="1">
      <alignment horizontal="right" vertical="center"/>
    </xf>
    <xf numFmtId="0" fontId="3" fillId="0" borderId="0" xfId="0" applyFont="1" applyFill="1" applyBorder="1" applyAlignment="1" applyProtection="1">
      <alignment horizontal="right" vertical="center"/>
    </xf>
    <xf numFmtId="38" fontId="3" fillId="0" borderId="15" xfId="1" applyFont="1" applyFill="1" applyBorder="1" applyAlignment="1" applyProtection="1">
      <alignment horizontal="center" vertical="center"/>
    </xf>
    <xf numFmtId="38" fontId="3" fillId="0" borderId="258" xfId="1" applyFont="1" applyFill="1" applyBorder="1" applyAlignment="1" applyProtection="1">
      <alignment horizontal="center" vertical="center"/>
    </xf>
    <xf numFmtId="38" fontId="16" fillId="0" borderId="41" xfId="1" applyFont="1" applyFill="1" applyBorder="1" applyAlignment="1" applyProtection="1">
      <alignment horizontal="right" vertical="center"/>
    </xf>
    <xf numFmtId="38" fontId="16" fillId="0" borderId="25" xfId="1" applyFont="1" applyFill="1" applyBorder="1" applyAlignment="1" applyProtection="1">
      <alignment horizontal="right" vertical="center"/>
    </xf>
    <xf numFmtId="0" fontId="8" fillId="0" borderId="32" xfId="0" applyFont="1" applyFill="1" applyBorder="1" applyAlignment="1" applyProtection="1">
      <alignment horizontal="center" vertical="center"/>
    </xf>
    <xf numFmtId="0" fontId="8" fillId="0" borderId="48" xfId="0" applyFont="1" applyFill="1" applyBorder="1" applyAlignment="1" applyProtection="1">
      <alignment horizontal="center" vertical="center"/>
    </xf>
    <xf numFmtId="38" fontId="3" fillId="0" borderId="0" xfId="0" applyNumberFormat="1" applyFont="1" applyFill="1" applyBorder="1" applyAlignment="1" applyProtection="1">
      <alignment horizontal="center" vertical="center"/>
    </xf>
    <xf numFmtId="38" fontId="9" fillId="0" borderId="20" xfId="1" applyFont="1" applyFill="1" applyBorder="1" applyAlignment="1" applyProtection="1">
      <alignment horizontal="center" vertical="center"/>
    </xf>
    <xf numFmtId="38" fontId="9" fillId="0" borderId="21" xfId="1" applyFont="1" applyFill="1" applyBorder="1" applyAlignment="1" applyProtection="1">
      <alignment horizontal="center" vertical="center"/>
    </xf>
    <xf numFmtId="38" fontId="9" fillId="0" borderId="40" xfId="1" applyFont="1" applyFill="1" applyBorder="1" applyAlignment="1" applyProtection="1">
      <alignment horizontal="center" vertical="center"/>
    </xf>
    <xf numFmtId="38" fontId="8" fillId="0" borderId="0" xfId="0" applyNumberFormat="1"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40" xfId="0" applyFont="1" applyFill="1" applyBorder="1" applyAlignment="1" applyProtection="1">
      <alignment horizontal="center" vertical="center"/>
    </xf>
    <xf numFmtId="0" fontId="8" fillId="0" borderId="25" xfId="0" applyFont="1" applyFill="1" applyBorder="1" applyAlignment="1" applyProtection="1">
      <alignment horizontal="center" vertical="center"/>
    </xf>
    <xf numFmtId="38" fontId="8" fillId="0" borderId="5" xfId="0" applyNumberFormat="1"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3" fillId="0" borderId="40"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38" fontId="42" fillId="0" borderId="1" xfId="1" applyFont="1" applyFill="1" applyBorder="1" applyAlignment="1" applyProtection="1">
      <alignment horizontal="center" vertical="center"/>
    </xf>
    <xf numFmtId="0" fontId="48" fillId="0" borderId="1"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48" xfId="0" applyFont="1" applyFill="1" applyBorder="1" applyAlignment="1" applyProtection="1">
      <alignment horizontal="center" vertical="center"/>
    </xf>
    <xf numFmtId="0" fontId="70" fillId="0" borderId="288" xfId="0" applyFont="1" applyFill="1" applyBorder="1" applyAlignment="1" applyProtection="1">
      <alignment horizontal="center" vertical="top" textRotation="255"/>
    </xf>
    <xf numFmtId="0" fontId="70" fillId="0" borderId="23" xfId="0" applyFont="1" applyFill="1" applyBorder="1" applyAlignment="1" applyProtection="1">
      <alignment horizontal="center" vertical="top" textRotation="255"/>
    </xf>
    <xf numFmtId="38" fontId="3" fillId="0" borderId="8" xfId="1" applyFont="1" applyFill="1" applyBorder="1" applyAlignment="1" applyProtection="1">
      <alignment horizontal="center" vertical="center"/>
    </xf>
    <xf numFmtId="38" fontId="3" fillId="0" borderId="39" xfId="1" applyFont="1" applyFill="1" applyBorder="1" applyAlignment="1" applyProtection="1">
      <alignment horizontal="center" vertical="center"/>
    </xf>
    <xf numFmtId="38" fontId="3" fillId="0" borderId="11" xfId="1" applyFont="1" applyFill="1" applyBorder="1" applyAlignment="1" applyProtection="1">
      <alignment horizontal="center" vertical="center"/>
    </xf>
    <xf numFmtId="38" fontId="16" fillId="3" borderId="41" xfId="1" applyFont="1" applyFill="1" applyBorder="1" applyAlignment="1" applyProtection="1">
      <alignment horizontal="right" vertical="center"/>
    </xf>
    <xf numFmtId="38" fontId="16" fillId="3" borderId="25" xfId="1" applyFont="1" applyFill="1" applyBorder="1" applyAlignment="1" applyProtection="1">
      <alignment horizontal="right" vertical="center"/>
    </xf>
    <xf numFmtId="0" fontId="62" fillId="0" borderId="0" xfId="0" applyFont="1" applyFill="1" applyAlignment="1" applyProtection="1">
      <alignment horizontal="center" vertical="center"/>
    </xf>
    <xf numFmtId="0" fontId="5" fillId="3" borderId="287" xfId="0" applyFont="1" applyFill="1" applyBorder="1" applyAlignment="1" applyProtection="1">
      <alignment horizontal="center" vertical="center"/>
    </xf>
    <xf numFmtId="0" fontId="5" fillId="3" borderId="289" xfId="0" applyFont="1" applyFill="1" applyBorder="1" applyAlignment="1" applyProtection="1">
      <alignment horizontal="center" vertical="center"/>
    </xf>
    <xf numFmtId="0" fontId="8" fillId="0" borderId="43" xfId="0" applyFont="1" applyFill="1" applyBorder="1" applyAlignment="1" applyProtection="1">
      <alignment horizontal="center" vertical="center" shrinkToFit="1"/>
    </xf>
    <xf numFmtId="0" fontId="8" fillId="0" borderId="0" xfId="0" applyFont="1" applyFill="1" applyBorder="1" applyAlignment="1" applyProtection="1">
      <alignment horizontal="center" vertical="center" shrinkToFit="1"/>
    </xf>
    <xf numFmtId="0" fontId="8" fillId="0" borderId="44" xfId="0" applyFont="1" applyFill="1" applyBorder="1" applyAlignment="1" applyProtection="1">
      <alignment horizontal="center" vertical="center" shrinkToFit="1"/>
    </xf>
    <xf numFmtId="0" fontId="8" fillId="0" borderId="24" xfId="0" applyFont="1" applyFill="1" applyBorder="1" applyAlignment="1" applyProtection="1">
      <alignment horizontal="center" vertical="center" shrinkToFit="1"/>
    </xf>
    <xf numFmtId="0" fontId="8" fillId="0" borderId="12" xfId="0" applyFont="1" applyFill="1" applyBorder="1" applyAlignment="1" applyProtection="1">
      <alignment horizontal="center" vertical="center" shrinkToFit="1"/>
    </xf>
    <xf numFmtId="0" fontId="8" fillId="0" borderId="182" xfId="0" applyFont="1" applyFill="1" applyBorder="1" applyAlignment="1" applyProtection="1">
      <alignment horizontal="center" vertical="center" shrinkToFit="1"/>
    </xf>
    <xf numFmtId="0" fontId="19" fillId="0" borderId="38" xfId="0" applyFont="1" applyFill="1" applyBorder="1" applyAlignment="1" applyProtection="1">
      <alignment horizontal="center" vertical="center"/>
    </xf>
    <xf numFmtId="0" fontId="19" fillId="0" borderId="273" xfId="0" applyFont="1" applyFill="1" applyBorder="1" applyAlignment="1" applyProtection="1">
      <alignment horizontal="center" vertical="center"/>
    </xf>
    <xf numFmtId="0" fontId="19" fillId="0" borderId="41" xfId="0" applyFont="1" applyFill="1" applyBorder="1" applyAlignment="1" applyProtection="1">
      <alignment horizontal="center" vertical="center"/>
    </xf>
    <xf numFmtId="0" fontId="19" fillId="0" borderId="181"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3" fillId="0" borderId="38" xfId="0" applyFont="1" applyFill="1" applyBorder="1" applyAlignment="1" applyProtection="1">
      <alignment horizontal="center" vertical="center" wrapText="1"/>
    </xf>
    <xf numFmtId="0" fontId="13" fillId="0" borderId="28" xfId="0" applyFont="1" applyFill="1" applyBorder="1" applyAlignment="1" applyProtection="1">
      <alignment horizontal="center" vertical="center" wrapText="1"/>
    </xf>
    <xf numFmtId="0" fontId="15" fillId="0" borderId="279" xfId="0" applyFont="1" applyFill="1" applyBorder="1" applyAlignment="1" applyProtection="1">
      <alignment horizontal="center" vertical="center" shrinkToFit="1"/>
    </xf>
    <xf numFmtId="0" fontId="15" fillId="0" borderId="273" xfId="0" applyFont="1" applyFill="1" applyBorder="1" applyAlignment="1" applyProtection="1">
      <alignment horizontal="center" vertical="center" shrinkToFit="1"/>
    </xf>
    <xf numFmtId="0" fontId="15" fillId="0" borderId="58" xfId="0" applyFont="1" applyFill="1" applyBorder="1" applyAlignment="1" applyProtection="1">
      <alignment horizontal="center" vertical="center" shrinkToFit="1"/>
    </xf>
    <xf numFmtId="0" fontId="15" fillId="0" borderId="43" xfId="0" applyFont="1" applyFill="1" applyBorder="1" applyAlignment="1" applyProtection="1">
      <alignment horizontal="center" vertical="center" shrinkToFit="1"/>
    </xf>
    <xf numFmtId="0" fontId="15" fillId="0" borderId="0" xfId="0" applyFont="1" applyFill="1" applyBorder="1" applyAlignment="1" applyProtection="1">
      <alignment horizontal="center" vertical="center" shrinkToFit="1"/>
    </xf>
    <xf numFmtId="0" fontId="15" fillId="0" borderId="44" xfId="0" applyFont="1" applyFill="1" applyBorder="1" applyAlignment="1" applyProtection="1">
      <alignment horizontal="center" vertical="center" shrinkToFit="1"/>
    </xf>
    <xf numFmtId="0" fontId="15" fillId="0" borderId="38" xfId="0" applyFont="1" applyFill="1" applyBorder="1" applyAlignment="1" applyProtection="1">
      <alignment horizontal="center" vertical="center" shrinkToFit="1"/>
    </xf>
    <xf numFmtId="0" fontId="15" fillId="0" borderId="28" xfId="0" applyFont="1" applyFill="1" applyBorder="1" applyAlignment="1" applyProtection="1">
      <alignment horizontal="center" vertical="center" shrinkToFit="1"/>
    </xf>
    <xf numFmtId="0" fontId="15" fillId="0" borderId="29" xfId="0" applyFont="1" applyFill="1" applyBorder="1" applyAlignment="1" applyProtection="1">
      <alignment horizontal="center" vertical="center" shrinkToFit="1"/>
    </xf>
    <xf numFmtId="0" fontId="3" fillId="0" borderId="70" xfId="0" applyFont="1" applyFill="1" applyBorder="1" applyAlignment="1" applyProtection="1">
      <alignment horizontal="center" vertical="center" shrinkToFit="1"/>
    </xf>
    <xf numFmtId="0" fontId="15" fillId="0" borderId="58" xfId="0" applyNumberFormat="1" applyFont="1" applyFill="1" applyBorder="1" applyAlignment="1" applyProtection="1">
      <alignment horizontal="center" vertical="center" shrinkToFit="1"/>
    </xf>
    <xf numFmtId="0" fontId="15" fillId="0" borderId="30" xfId="0" applyNumberFormat="1" applyFont="1" applyFill="1" applyBorder="1" applyAlignment="1" applyProtection="1">
      <alignment horizontal="center" vertical="center" shrinkToFit="1"/>
    </xf>
    <xf numFmtId="0" fontId="66" fillId="0" borderId="93" xfId="0" applyFont="1" applyFill="1" applyBorder="1" applyAlignment="1" applyProtection="1">
      <alignment horizontal="center" vertical="center" shrinkToFit="1"/>
    </xf>
    <xf numFmtId="0" fontId="66" fillId="0" borderId="94" xfId="0" applyFont="1" applyFill="1" applyBorder="1" applyAlignment="1" applyProtection="1">
      <alignment horizontal="center" vertical="center" shrinkToFit="1"/>
    </xf>
    <xf numFmtId="38" fontId="9" fillId="0" borderId="38" xfId="1" applyFont="1" applyFill="1" applyBorder="1" applyAlignment="1" applyProtection="1">
      <alignment horizontal="center" vertical="center"/>
    </xf>
    <xf numFmtId="38" fontId="9" fillId="0" borderId="181" xfId="1" applyFont="1" applyFill="1" applyBorder="1" applyAlignment="1" applyProtection="1">
      <alignment horizontal="center" vertical="center"/>
    </xf>
    <xf numFmtId="38" fontId="15" fillId="0" borderId="41" xfId="1" applyFont="1" applyFill="1" applyBorder="1" applyAlignment="1" applyProtection="1">
      <alignment horizontal="center" vertical="center"/>
    </xf>
    <xf numFmtId="38" fontId="15" fillId="0" borderId="25" xfId="1" applyFont="1" applyFill="1" applyBorder="1" applyAlignment="1" applyProtection="1">
      <alignment horizontal="center" vertical="center"/>
    </xf>
    <xf numFmtId="38" fontId="15" fillId="0" borderId="273" xfId="1" applyFont="1" applyFill="1" applyBorder="1" applyAlignment="1" applyProtection="1">
      <alignment horizontal="center" vertical="center"/>
    </xf>
    <xf numFmtId="38" fontId="15" fillId="0" borderId="12" xfId="1" applyFont="1" applyFill="1" applyBorder="1" applyAlignment="1" applyProtection="1">
      <alignment horizontal="center" vertical="center"/>
    </xf>
    <xf numFmtId="38" fontId="3" fillId="3" borderId="15" xfId="1" applyFont="1" applyFill="1" applyBorder="1" applyAlignment="1" applyProtection="1">
      <alignment horizontal="center" vertical="center"/>
    </xf>
    <xf numFmtId="38" fontId="3" fillId="3" borderId="258" xfId="1" applyFont="1" applyFill="1" applyBorder="1" applyAlignment="1" applyProtection="1">
      <alignment horizontal="center" vertical="center"/>
    </xf>
    <xf numFmtId="0" fontId="3" fillId="3" borderId="38" xfId="0" applyFont="1" applyFill="1" applyBorder="1" applyAlignment="1" applyProtection="1">
      <alignment horizontal="center" vertical="center"/>
    </xf>
    <xf numFmtId="0" fontId="3" fillId="3" borderId="167" xfId="0" applyFont="1" applyFill="1" applyBorder="1" applyAlignment="1" applyProtection="1">
      <alignment horizontal="center" vertical="center"/>
    </xf>
    <xf numFmtId="3" fontId="15" fillId="3" borderId="273" xfId="0" applyNumberFormat="1" applyFont="1" applyFill="1" applyBorder="1" applyAlignment="1" applyProtection="1">
      <alignment vertical="center" shrinkToFit="1"/>
    </xf>
    <xf numFmtId="0" fontId="74" fillId="3" borderId="0" xfId="0" applyFont="1" applyFill="1" applyBorder="1" applyProtection="1">
      <alignment vertical="center"/>
    </xf>
    <xf numFmtId="0" fontId="3" fillId="3" borderId="16" xfId="0" applyFont="1" applyFill="1" applyBorder="1" applyAlignment="1" applyProtection="1">
      <alignment horizontal="left" vertical="center"/>
    </xf>
    <xf numFmtId="0" fontId="3" fillId="3" borderId="41" xfId="0" applyFont="1" applyFill="1" applyBorder="1" applyAlignment="1" applyProtection="1">
      <alignment horizontal="left" vertical="center"/>
    </xf>
    <xf numFmtId="3" fontId="15" fillId="0" borderId="31" xfId="0" applyNumberFormat="1" applyFont="1" applyFill="1" applyBorder="1" applyAlignment="1" applyProtection="1">
      <alignment vertical="center" shrinkToFit="1"/>
    </xf>
    <xf numFmtId="0" fontId="15" fillId="0" borderId="31" xfId="0" applyFont="1" applyFill="1" applyBorder="1" applyAlignment="1" applyProtection="1">
      <alignment vertical="center" shrinkToFit="1"/>
    </xf>
    <xf numFmtId="0" fontId="3" fillId="0" borderId="16" xfId="0" applyFont="1" applyFill="1" applyBorder="1" applyAlignment="1" applyProtection="1">
      <alignment horizontal="left" vertical="center"/>
    </xf>
    <xf numFmtId="0" fontId="3" fillId="0" borderId="10" xfId="0" applyFont="1" applyFill="1" applyBorder="1" applyAlignment="1" applyProtection="1">
      <alignment horizontal="center" vertical="center"/>
    </xf>
    <xf numFmtId="0" fontId="0" fillId="0" borderId="39" xfId="0" applyBorder="1" applyProtection="1">
      <alignment vertical="center"/>
    </xf>
    <xf numFmtId="0" fontId="0" fillId="0" borderId="11" xfId="0" applyBorder="1" applyProtection="1">
      <alignment vertical="center"/>
    </xf>
    <xf numFmtId="181" fontId="41" fillId="0" borderId="6" xfId="0" applyNumberFormat="1" applyFont="1" applyFill="1" applyBorder="1" applyAlignment="1" applyProtection="1">
      <alignment horizontal="center" vertical="center"/>
    </xf>
    <xf numFmtId="181" fontId="41" fillId="0" borderId="7" xfId="0" applyNumberFormat="1" applyFont="1" applyFill="1" applyBorder="1" applyAlignment="1" applyProtection="1">
      <alignment horizontal="center" vertical="center"/>
    </xf>
    <xf numFmtId="0" fontId="5" fillId="0" borderId="5" xfId="0" applyFont="1" applyFill="1" applyBorder="1" applyAlignment="1" applyProtection="1">
      <alignment horizontal="center" vertical="center" shrinkToFit="1"/>
    </xf>
    <xf numFmtId="0" fontId="5" fillId="0" borderId="6" xfId="0" applyFont="1" applyFill="1" applyBorder="1" applyAlignment="1" applyProtection="1">
      <alignment horizontal="center" vertical="center" shrinkToFit="1"/>
    </xf>
    <xf numFmtId="0" fontId="5" fillId="0" borderId="7" xfId="0" applyFont="1" applyFill="1" applyBorder="1" applyAlignment="1" applyProtection="1">
      <alignment horizontal="center" vertical="center" shrinkToFit="1"/>
    </xf>
    <xf numFmtId="0" fontId="5" fillId="0" borderId="282" xfId="0" applyFont="1" applyFill="1" applyBorder="1" applyAlignment="1" applyProtection="1">
      <alignment horizontal="center" vertical="center"/>
    </xf>
    <xf numFmtId="0" fontId="5" fillId="0" borderId="156" xfId="0" applyFont="1" applyFill="1" applyBorder="1" applyAlignment="1" applyProtection="1">
      <alignment horizontal="center" vertical="center"/>
    </xf>
    <xf numFmtId="0" fontId="5" fillId="0" borderId="157" xfId="0" applyFont="1" applyFill="1" applyBorder="1" applyAlignment="1" applyProtection="1">
      <alignment horizontal="center" vertical="center"/>
    </xf>
    <xf numFmtId="0" fontId="5" fillId="0" borderId="283" xfId="0" applyFont="1" applyFill="1" applyBorder="1" applyAlignment="1" applyProtection="1">
      <alignment horizontal="center" vertical="center"/>
    </xf>
    <xf numFmtId="0" fontId="5" fillId="0" borderId="284" xfId="0" applyFont="1" applyFill="1" applyBorder="1" applyAlignment="1" applyProtection="1">
      <alignment horizontal="center" vertical="center"/>
    </xf>
    <xf numFmtId="3" fontId="19" fillId="0" borderId="150" xfId="0" applyNumberFormat="1" applyFont="1" applyFill="1" applyBorder="1" applyAlignment="1" applyProtection="1">
      <alignment vertical="center" shrinkToFit="1"/>
    </xf>
    <xf numFmtId="0" fontId="19" fillId="0" borderId="150" xfId="0" applyFont="1" applyFill="1" applyBorder="1" applyAlignment="1" applyProtection="1">
      <alignment vertical="center" shrinkToFit="1"/>
    </xf>
    <xf numFmtId="0" fontId="5" fillId="0" borderId="151" xfId="0" applyFont="1" applyFill="1" applyBorder="1" applyAlignment="1" applyProtection="1">
      <alignment horizontal="left" vertical="center"/>
    </xf>
    <xf numFmtId="38" fontId="5" fillId="0" borderId="20" xfId="1" applyFont="1" applyFill="1" applyBorder="1" applyAlignment="1" applyProtection="1">
      <alignment horizontal="center" vertical="center"/>
    </xf>
    <xf numFmtId="38" fontId="5" fillId="0" borderId="21" xfId="1" applyFont="1" applyFill="1" applyBorder="1" applyAlignment="1" applyProtection="1">
      <alignment horizontal="center" vertical="center"/>
    </xf>
    <xf numFmtId="38" fontId="5" fillId="0" borderId="40" xfId="1" applyFont="1" applyFill="1" applyBorder="1" applyAlignment="1" applyProtection="1">
      <alignment horizontal="center" vertical="center"/>
    </xf>
    <xf numFmtId="3" fontId="19" fillId="0" borderId="45" xfId="0" applyNumberFormat="1" applyFont="1" applyFill="1" applyBorder="1" applyAlignment="1" applyProtection="1">
      <alignment vertical="center" shrinkToFit="1"/>
    </xf>
    <xf numFmtId="0" fontId="74" fillId="0" borderId="46" xfId="0" applyFont="1" applyBorder="1" applyProtection="1">
      <alignment vertical="center"/>
    </xf>
    <xf numFmtId="0" fontId="5" fillId="0" borderId="285" xfId="0" applyFont="1" applyFill="1" applyBorder="1" applyAlignment="1" applyProtection="1">
      <alignment horizontal="left" vertical="center"/>
    </xf>
    <xf numFmtId="0" fontId="5" fillId="0" borderId="286" xfId="0" applyFont="1" applyFill="1" applyBorder="1" applyAlignment="1" applyProtection="1">
      <alignment horizontal="left" vertical="center"/>
    </xf>
    <xf numFmtId="0" fontId="3" fillId="0" borderId="62" xfId="0" applyFont="1" applyFill="1" applyBorder="1" applyAlignment="1" applyProtection="1">
      <alignment horizontal="center" vertical="center" shrinkToFit="1"/>
    </xf>
    <xf numFmtId="0" fontId="3" fillId="0" borderId="47" xfId="0" applyFont="1" applyFill="1" applyBorder="1" applyAlignment="1" applyProtection="1">
      <alignment horizontal="center" vertical="center" shrinkToFit="1"/>
    </xf>
    <xf numFmtId="0" fontId="3" fillId="0" borderId="68" xfId="0" applyFont="1" applyFill="1" applyBorder="1" applyAlignment="1" applyProtection="1">
      <alignment horizontal="center" vertical="center" shrinkToFit="1"/>
    </xf>
    <xf numFmtId="38" fontId="19" fillId="0" borderId="61" xfId="0" applyNumberFormat="1" applyFont="1" applyFill="1" applyBorder="1" applyAlignment="1" applyProtection="1">
      <alignment horizontal="center" vertical="center" wrapText="1"/>
    </xf>
    <xf numFmtId="38" fontId="19" fillId="0" borderId="0" xfId="0" applyNumberFormat="1" applyFont="1" applyFill="1" applyBorder="1" applyAlignment="1" applyProtection="1">
      <alignment horizontal="center" vertical="center" wrapText="1"/>
    </xf>
    <xf numFmtId="38" fontId="19" fillId="0" borderId="67" xfId="0" applyNumberFormat="1" applyFont="1" applyFill="1" applyBorder="1" applyAlignment="1" applyProtection="1">
      <alignment horizontal="center" vertical="center" wrapText="1"/>
    </xf>
    <xf numFmtId="0" fontId="5" fillId="0" borderId="287" xfId="0" applyFont="1" applyFill="1" applyBorder="1" applyAlignment="1" applyProtection="1">
      <alignment horizontal="center" vertical="center"/>
    </xf>
    <xf numFmtId="0" fontId="73" fillId="0" borderId="60" xfId="0" applyFont="1" applyFill="1" applyBorder="1" applyAlignment="1" applyProtection="1">
      <alignment horizontal="center" vertical="center" wrapText="1"/>
    </xf>
    <xf numFmtId="0" fontId="73" fillId="0" borderId="65" xfId="0" applyFont="1" applyFill="1" applyBorder="1" applyAlignment="1" applyProtection="1">
      <alignment horizontal="center" vertical="center" wrapText="1"/>
    </xf>
    <xf numFmtId="0" fontId="73" fillId="0" borderId="66" xfId="0" applyFont="1" applyFill="1" applyBorder="1" applyAlignment="1" applyProtection="1">
      <alignment horizontal="center" vertical="center" wrapText="1"/>
    </xf>
    <xf numFmtId="0" fontId="32" fillId="0" borderId="21" xfId="0" applyFont="1" applyFill="1" applyBorder="1" applyAlignment="1" applyProtection="1">
      <alignment horizontal="left" vertical="center"/>
    </xf>
    <xf numFmtId="0" fontId="72" fillId="0" borderId="60" xfId="0" applyFont="1" applyFill="1" applyBorder="1" applyAlignment="1" applyProtection="1">
      <alignment horizontal="center" vertical="center" wrapText="1"/>
    </xf>
    <xf numFmtId="0" fontId="72" fillId="0" borderId="65" xfId="0" applyFont="1" applyFill="1" applyBorder="1" applyAlignment="1" applyProtection="1">
      <alignment horizontal="center" vertical="center" wrapText="1"/>
    </xf>
    <xf numFmtId="0" fontId="72" fillId="0" borderId="66" xfId="0" applyFont="1" applyFill="1" applyBorder="1" applyAlignment="1" applyProtection="1">
      <alignment horizontal="center" vertical="center" wrapText="1"/>
    </xf>
    <xf numFmtId="38" fontId="16" fillId="0" borderId="16" xfId="1" applyFont="1" applyFill="1" applyBorder="1" applyAlignment="1" applyProtection="1">
      <alignment horizontal="right" vertical="center"/>
    </xf>
    <xf numFmtId="38" fontId="16" fillId="0" borderId="59" xfId="1" applyFont="1" applyFill="1" applyBorder="1" applyAlignment="1" applyProtection="1">
      <alignment horizontal="right" vertical="center"/>
    </xf>
    <xf numFmtId="3" fontId="15" fillId="3" borderId="29" xfId="0" applyNumberFormat="1" applyFont="1" applyFill="1" applyBorder="1" applyAlignment="1" applyProtection="1">
      <alignment vertical="center" shrinkToFit="1"/>
    </xf>
    <xf numFmtId="0" fontId="15" fillId="0" borderId="38" xfId="0" applyNumberFormat="1" applyFont="1" applyFill="1" applyBorder="1" applyAlignment="1" applyProtection="1">
      <alignment horizontal="center" vertical="center" shrinkToFit="1"/>
    </xf>
    <xf numFmtId="0" fontId="15" fillId="0" borderId="273" xfId="0" applyNumberFormat="1" applyFont="1" applyFill="1" applyBorder="1" applyAlignment="1" applyProtection="1">
      <alignment horizontal="center" vertical="center" shrinkToFit="1"/>
    </xf>
    <xf numFmtId="0" fontId="15" fillId="0" borderId="28" xfId="0" applyNumberFormat="1" applyFont="1" applyFill="1" applyBorder="1" applyAlignment="1" applyProtection="1">
      <alignment horizontal="center" vertical="center" shrinkToFit="1"/>
    </xf>
    <xf numFmtId="0" fontId="15" fillId="0" borderId="29" xfId="0" applyNumberFormat="1" applyFont="1" applyFill="1" applyBorder="1" applyAlignment="1" applyProtection="1">
      <alignment horizontal="center" vertical="center" shrinkToFit="1"/>
    </xf>
    <xf numFmtId="38" fontId="20" fillId="0" borderId="0" xfId="1" applyFont="1" applyFill="1" applyBorder="1" applyAlignment="1" applyProtection="1">
      <alignment horizontal="center" vertical="center"/>
    </xf>
    <xf numFmtId="38" fontId="20" fillId="0" borderId="21" xfId="1" applyFont="1" applyFill="1" applyBorder="1" applyAlignment="1" applyProtection="1">
      <alignment horizontal="center" vertical="center"/>
    </xf>
    <xf numFmtId="0" fontId="5" fillId="3" borderId="151" xfId="0" applyFont="1" applyFill="1" applyBorder="1" applyAlignment="1" applyProtection="1">
      <alignment horizontal="left" vertical="center"/>
    </xf>
    <xf numFmtId="0" fontId="5" fillId="3" borderId="280" xfId="0" applyFont="1" applyFill="1" applyBorder="1" applyAlignment="1" applyProtection="1">
      <alignment horizontal="left" vertical="center"/>
    </xf>
    <xf numFmtId="3" fontId="19" fillId="3" borderId="150" xfId="0" applyNumberFormat="1" applyFont="1" applyFill="1" applyBorder="1" applyAlignment="1" applyProtection="1">
      <alignment vertical="center" shrinkToFit="1"/>
    </xf>
    <xf numFmtId="0" fontId="75" fillId="3" borderId="281" xfId="0" applyFont="1" applyFill="1" applyBorder="1" applyProtection="1">
      <alignment vertical="center"/>
    </xf>
    <xf numFmtId="38" fontId="26" fillId="7" borderId="0" xfId="1" applyFont="1" applyFill="1" applyBorder="1" applyAlignment="1" applyProtection="1">
      <alignment horizontal="left" vertical="center"/>
    </xf>
    <xf numFmtId="49" fontId="3" fillId="0" borderId="63" xfId="0" applyNumberFormat="1" applyFont="1" applyFill="1" applyBorder="1" applyAlignment="1" applyProtection="1">
      <alignment horizontal="left" vertical="center" shrinkToFit="1"/>
    </xf>
    <xf numFmtId="49" fontId="3" fillId="0" borderId="29" xfId="0" applyNumberFormat="1" applyFont="1" applyFill="1" applyBorder="1" applyAlignment="1" applyProtection="1">
      <alignment horizontal="left" vertical="center" shrinkToFit="1"/>
    </xf>
    <xf numFmtId="49" fontId="9" fillId="0" borderId="29" xfId="1" applyNumberFormat="1" applyFont="1" applyFill="1" applyBorder="1" applyAlignment="1" applyProtection="1">
      <alignment horizontal="center" vertical="center"/>
    </xf>
    <xf numFmtId="180" fontId="21" fillId="0" borderId="31" xfId="1" applyNumberFormat="1" applyFont="1" applyFill="1" applyBorder="1" applyAlignment="1" applyProtection="1">
      <alignment horizontal="center" vertical="center" wrapText="1"/>
    </xf>
    <xf numFmtId="180" fontId="21" fillId="0" borderId="14" xfId="1" applyNumberFormat="1" applyFont="1" applyFill="1" applyBorder="1" applyAlignment="1" applyProtection="1">
      <alignment horizontal="center" vertical="center" wrapText="1"/>
    </xf>
    <xf numFmtId="38" fontId="3" fillId="0" borderId="64" xfId="1" applyFont="1" applyFill="1" applyBorder="1" applyAlignment="1" applyProtection="1">
      <alignment horizontal="center" vertical="center"/>
    </xf>
    <xf numFmtId="38" fontId="3" fillId="0" borderId="31" xfId="1" applyFont="1" applyFill="1" applyBorder="1" applyAlignment="1" applyProtection="1">
      <alignment horizontal="center" vertical="center"/>
    </xf>
    <xf numFmtId="38" fontId="86" fillId="0" borderId="0" xfId="1" applyFont="1" applyFill="1" applyBorder="1" applyAlignment="1" applyProtection="1">
      <alignment horizontal="left" vertical="center"/>
    </xf>
    <xf numFmtId="38" fontId="5" fillId="0" borderId="0" xfId="1" applyFont="1" applyFill="1" applyBorder="1" applyAlignment="1" applyProtection="1">
      <alignment horizontal="left" vertical="center"/>
    </xf>
    <xf numFmtId="38" fontId="86" fillId="0" borderId="65" xfId="1"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180" fontId="21" fillId="0" borderId="69" xfId="1" applyNumberFormat="1" applyFont="1" applyFill="1" applyBorder="1" applyAlignment="1" applyProtection="1">
      <alignment horizontal="center" vertical="center" wrapText="1"/>
    </xf>
    <xf numFmtId="38" fontId="3" fillId="3" borderId="13" xfId="1" applyFont="1" applyFill="1" applyBorder="1" applyAlignment="1" applyProtection="1">
      <alignment horizontal="center" vertical="center"/>
    </xf>
    <xf numFmtId="38" fontId="3" fillId="3" borderId="31" xfId="1" applyFont="1" applyFill="1" applyBorder="1" applyAlignment="1" applyProtection="1">
      <alignment horizontal="center" vertical="center"/>
    </xf>
    <xf numFmtId="49" fontId="9" fillId="7" borderId="29" xfId="1" applyNumberFormat="1" applyFont="1" applyFill="1" applyBorder="1" applyAlignment="1" applyProtection="1">
      <alignment horizontal="left" vertical="center"/>
    </xf>
    <xf numFmtId="49" fontId="9" fillId="7" borderId="52" xfId="1" applyNumberFormat="1" applyFont="1" applyFill="1" applyBorder="1" applyAlignment="1" applyProtection="1">
      <alignment horizontal="left" vertical="center"/>
    </xf>
    <xf numFmtId="38" fontId="85" fillId="3" borderId="29" xfId="1" applyFont="1" applyFill="1" applyBorder="1" applyAlignment="1">
      <alignment horizontal="left" vertical="center" shrinkToFit="1"/>
    </xf>
    <xf numFmtId="38" fontId="16" fillId="7" borderId="31" xfId="1" applyNumberFormat="1" applyFont="1" applyFill="1" applyBorder="1" applyAlignment="1" applyProtection="1">
      <alignment horizontal="center" vertical="center" shrinkToFit="1"/>
    </xf>
    <xf numFmtId="38" fontId="16" fillId="7" borderId="14" xfId="1" applyNumberFormat="1" applyFont="1" applyFill="1" applyBorder="1" applyAlignment="1" applyProtection="1">
      <alignment horizontal="center" vertical="center" shrinkToFit="1"/>
    </xf>
    <xf numFmtId="38" fontId="3" fillId="7" borderId="13" xfId="1" applyFont="1" applyFill="1" applyBorder="1" applyAlignment="1" applyProtection="1">
      <alignment horizontal="center" vertical="center"/>
    </xf>
    <xf numFmtId="38" fontId="3" fillId="7" borderId="31" xfId="1" applyFont="1" applyFill="1" applyBorder="1" applyAlignment="1" applyProtection="1">
      <alignment horizontal="center" vertical="center"/>
    </xf>
    <xf numFmtId="38" fontId="86" fillId="7" borderId="43" xfId="1" applyFont="1" applyFill="1" applyBorder="1" applyAlignment="1" applyProtection="1">
      <alignment horizontal="left" vertical="center"/>
    </xf>
    <xf numFmtId="38" fontId="86" fillId="7" borderId="0" xfId="1" applyFont="1" applyFill="1" applyBorder="1" applyAlignment="1" applyProtection="1">
      <alignment horizontal="left" vertical="center"/>
    </xf>
    <xf numFmtId="49" fontId="9" fillId="3" borderId="29" xfId="1" applyNumberFormat="1" applyFont="1" applyFill="1" applyBorder="1" applyAlignment="1" applyProtection="1">
      <alignment horizontal="left" vertical="center"/>
    </xf>
    <xf numFmtId="49" fontId="9" fillId="3" borderId="52" xfId="1" applyNumberFormat="1" applyFont="1" applyFill="1" applyBorder="1" applyAlignment="1" applyProtection="1">
      <alignment horizontal="left" vertical="center"/>
    </xf>
    <xf numFmtId="180" fontId="34" fillId="3" borderId="31" xfId="1" applyNumberFormat="1" applyFont="1" applyFill="1" applyBorder="1" applyAlignment="1" applyProtection="1">
      <alignment horizontal="center" vertical="center" shrinkToFit="1"/>
    </xf>
    <xf numFmtId="180" fontId="34" fillId="3" borderId="16" xfId="1" applyNumberFormat="1" applyFont="1" applyFill="1" applyBorder="1" applyAlignment="1" applyProtection="1">
      <alignment horizontal="center" vertical="center" shrinkToFit="1"/>
    </xf>
    <xf numFmtId="38" fontId="10" fillId="3" borderId="43" xfId="1" applyFont="1" applyFill="1" applyBorder="1" applyAlignment="1" applyProtection="1">
      <alignment horizontal="left" vertical="center"/>
    </xf>
    <xf numFmtId="38" fontId="10" fillId="3" borderId="0" xfId="1" applyFont="1" applyFill="1" applyBorder="1" applyAlignment="1" applyProtection="1">
      <alignment horizontal="left" vertical="center"/>
    </xf>
    <xf numFmtId="38" fontId="16" fillId="3" borderId="31" xfId="1" applyNumberFormat="1" applyFont="1" applyFill="1" applyBorder="1" applyAlignment="1" applyProtection="1">
      <alignment horizontal="center" vertical="center" shrinkToFit="1"/>
    </xf>
    <xf numFmtId="38" fontId="16" fillId="3" borderId="14" xfId="1" applyNumberFormat="1" applyFont="1" applyFill="1" applyBorder="1" applyAlignment="1" applyProtection="1">
      <alignment horizontal="center" vertical="center" shrinkToFit="1"/>
    </xf>
    <xf numFmtId="38" fontId="10" fillId="3" borderId="0" xfId="1" applyFont="1" applyFill="1" applyBorder="1" applyAlignment="1" applyProtection="1">
      <alignment horizontal="left" vertical="center" shrinkToFit="1"/>
    </xf>
    <xf numFmtId="38" fontId="86" fillId="7" borderId="20" xfId="1" applyFont="1" applyFill="1" applyBorder="1" applyAlignment="1" applyProtection="1">
      <alignment horizontal="left" vertical="center"/>
    </xf>
    <xf numFmtId="38" fontId="86" fillId="7" borderId="21" xfId="1" applyFont="1" applyFill="1" applyBorder="1" applyAlignment="1" applyProtection="1">
      <alignment horizontal="left" vertical="center"/>
    </xf>
    <xf numFmtId="38" fontId="26" fillId="7" borderId="29" xfId="1" applyFont="1" applyFill="1" applyBorder="1" applyAlignment="1" applyProtection="1">
      <alignment horizontal="center" vertical="center"/>
    </xf>
    <xf numFmtId="38" fontId="10" fillId="0" borderId="65" xfId="1" applyFont="1" applyFill="1" applyBorder="1" applyAlignment="1" applyProtection="1">
      <alignment horizontal="left" vertical="center"/>
    </xf>
    <xf numFmtId="38" fontId="10" fillId="0" borderId="0" xfId="1" applyFont="1" applyFill="1" applyBorder="1" applyAlignment="1" applyProtection="1">
      <alignment horizontal="left" vertical="center"/>
    </xf>
    <xf numFmtId="180" fontId="13" fillId="0" borderId="31" xfId="1" applyNumberFormat="1" applyFont="1" applyFill="1" applyBorder="1" applyAlignment="1" applyProtection="1">
      <alignment horizontal="center" vertical="center" wrapText="1"/>
    </xf>
    <xf numFmtId="180" fontId="13" fillId="0" borderId="14" xfId="1" applyNumberFormat="1" applyFont="1" applyFill="1" applyBorder="1" applyAlignment="1" applyProtection="1">
      <alignment horizontal="center" vertical="center" wrapText="1"/>
    </xf>
    <xf numFmtId="38" fontId="10" fillId="5" borderId="0" xfId="1" applyFont="1" applyFill="1" applyBorder="1" applyAlignment="1" applyProtection="1">
      <alignment horizontal="left" vertical="center"/>
    </xf>
    <xf numFmtId="38" fontId="10" fillId="5" borderId="43" xfId="1" applyFont="1" applyFill="1" applyBorder="1" applyAlignment="1" applyProtection="1">
      <alignment horizontal="left" vertical="center"/>
    </xf>
    <xf numFmtId="49" fontId="9" fillId="5" borderId="29" xfId="1" applyNumberFormat="1" applyFont="1" applyFill="1" applyBorder="1" applyAlignment="1" applyProtection="1">
      <alignment horizontal="left" vertical="center"/>
    </xf>
    <xf numFmtId="49" fontId="9" fillId="5" borderId="52" xfId="1" applyNumberFormat="1" applyFont="1" applyFill="1" applyBorder="1" applyAlignment="1" applyProtection="1">
      <alignment horizontal="left" vertical="center"/>
    </xf>
    <xf numFmtId="38" fontId="83" fillId="5" borderId="29" xfId="1" applyFont="1" applyFill="1" applyBorder="1" applyAlignment="1">
      <alignment horizontal="left" vertical="center" shrinkToFit="1"/>
    </xf>
    <xf numFmtId="38" fontId="3" fillId="5" borderId="15" xfId="1" applyFont="1" applyFill="1" applyBorder="1" applyAlignment="1" applyProtection="1">
      <alignment horizontal="center" vertical="center"/>
    </xf>
    <xf numFmtId="38" fontId="3" fillId="5" borderId="31" xfId="1" applyFont="1" applyFill="1" applyBorder="1" applyAlignment="1" applyProtection="1">
      <alignment horizontal="center" vertical="center"/>
    </xf>
    <xf numFmtId="180" fontId="34" fillId="5" borderId="31" xfId="1" applyNumberFormat="1" applyFont="1" applyFill="1" applyBorder="1" applyAlignment="1" applyProtection="1">
      <alignment horizontal="center" vertical="center" shrinkToFit="1"/>
    </xf>
    <xf numFmtId="180" fontId="34" fillId="5" borderId="14" xfId="1" applyNumberFormat="1" applyFont="1" applyFill="1" applyBorder="1" applyAlignment="1" applyProtection="1">
      <alignment horizontal="center" vertical="center" shrinkToFit="1"/>
    </xf>
    <xf numFmtId="38" fontId="10" fillId="3" borderId="20" xfId="1" applyFont="1" applyFill="1" applyBorder="1" applyAlignment="1" applyProtection="1">
      <alignment horizontal="left" vertical="center"/>
    </xf>
    <xf numFmtId="38" fontId="10" fillId="3" borderId="21" xfId="1" applyFont="1" applyFill="1" applyBorder="1" applyAlignment="1" applyProtection="1">
      <alignment horizontal="left" vertical="center"/>
    </xf>
    <xf numFmtId="38" fontId="12" fillId="0" borderId="21" xfId="1" applyFont="1" applyFill="1" applyBorder="1" applyAlignment="1" applyProtection="1">
      <alignment horizontal="center" vertical="center" shrinkToFit="1"/>
    </xf>
    <xf numFmtId="38" fontId="12" fillId="0" borderId="12" xfId="1" applyFont="1" applyFill="1" applyBorder="1" applyAlignment="1" applyProtection="1">
      <alignment horizontal="center" vertical="center" shrinkToFit="1"/>
    </xf>
    <xf numFmtId="38" fontId="3" fillId="5" borderId="13" xfId="1" applyFont="1" applyFill="1" applyBorder="1" applyAlignment="1" applyProtection="1">
      <alignment horizontal="center" vertical="center"/>
    </xf>
    <xf numFmtId="38" fontId="3" fillId="7" borderId="15" xfId="1" applyFont="1" applyFill="1" applyBorder="1" applyAlignment="1" applyProtection="1">
      <alignment horizontal="center" vertical="center"/>
    </xf>
    <xf numFmtId="38" fontId="26" fillId="3" borderId="29" xfId="1" applyFont="1" applyFill="1" applyBorder="1" applyAlignment="1" applyProtection="1">
      <alignment horizontal="center" vertical="center"/>
    </xf>
    <xf numFmtId="38" fontId="10" fillId="6" borderId="0" xfId="1" applyFont="1" applyFill="1" applyBorder="1" applyAlignment="1" applyProtection="1">
      <alignment horizontal="left" vertical="center"/>
    </xf>
    <xf numFmtId="0" fontId="10" fillId="6" borderId="29" xfId="0" applyFont="1" applyFill="1" applyBorder="1" applyAlignment="1" applyProtection="1">
      <alignment horizontal="center" vertical="center" shrinkToFit="1"/>
    </xf>
    <xf numFmtId="38" fontId="3" fillId="6" borderId="15" xfId="1" applyFont="1" applyFill="1" applyBorder="1" applyAlignment="1" applyProtection="1">
      <alignment horizontal="center" vertical="center"/>
    </xf>
    <xf numFmtId="38" fontId="3" fillId="6" borderId="31" xfId="1" applyFont="1" applyFill="1" applyBorder="1" applyAlignment="1" applyProtection="1">
      <alignment horizontal="center" vertical="center"/>
    </xf>
    <xf numFmtId="182" fontId="16" fillId="3" borderId="31" xfId="1" applyNumberFormat="1" applyFont="1" applyFill="1" applyBorder="1" applyAlignment="1" applyProtection="1">
      <alignment horizontal="center" vertical="center" shrinkToFit="1"/>
    </xf>
    <xf numFmtId="182" fontId="16" fillId="3" borderId="14" xfId="1" applyNumberFormat="1" applyFont="1" applyFill="1" applyBorder="1" applyAlignment="1" applyProtection="1">
      <alignment horizontal="center" vertical="center" shrinkToFit="1"/>
    </xf>
    <xf numFmtId="0" fontId="82" fillId="0" borderId="0" xfId="0" applyFont="1" applyFill="1" applyBorder="1" applyAlignment="1" applyProtection="1">
      <alignment horizontal="center" vertical="center"/>
    </xf>
    <xf numFmtId="38" fontId="81" fillId="5" borderId="32" xfId="1" applyFont="1" applyFill="1" applyBorder="1" applyAlignment="1">
      <alignment horizontal="center" vertical="center" shrinkToFit="1"/>
    </xf>
    <xf numFmtId="38" fontId="81" fillId="5" borderId="48" xfId="1" applyFont="1" applyFill="1" applyBorder="1" applyAlignment="1">
      <alignment horizontal="center" vertical="center" shrinkToFit="1"/>
    </xf>
    <xf numFmtId="38" fontId="81" fillId="0" borderId="32" xfId="1" applyFont="1" applyFill="1" applyBorder="1" applyAlignment="1">
      <alignment horizontal="center" vertical="center"/>
    </xf>
    <xf numFmtId="38" fontId="81" fillId="0" borderId="48" xfId="1" applyFont="1" applyFill="1" applyBorder="1" applyAlignment="1">
      <alignment horizontal="center" vertical="center"/>
    </xf>
    <xf numFmtId="38" fontId="81" fillId="0" borderId="32" xfId="1" applyFont="1" applyFill="1" applyBorder="1" applyAlignment="1">
      <alignment horizontal="center" vertical="center" shrinkToFit="1"/>
    </xf>
    <xf numFmtId="38" fontId="81" fillId="0" borderId="48" xfId="1" applyFont="1" applyFill="1" applyBorder="1" applyAlignment="1">
      <alignment horizontal="center" vertical="center" shrinkToFit="1"/>
    </xf>
    <xf numFmtId="0" fontId="3" fillId="5" borderId="32" xfId="0" applyFont="1" applyFill="1" applyBorder="1" applyAlignment="1" applyProtection="1">
      <alignment horizontal="center" vertical="center"/>
    </xf>
    <xf numFmtId="0" fontId="3" fillId="5" borderId="48" xfId="0" applyFont="1" applyFill="1" applyBorder="1" applyAlignment="1" applyProtection="1">
      <alignment horizontal="center" vertical="center"/>
    </xf>
    <xf numFmtId="38" fontId="4" fillId="0" borderId="32" xfId="1" applyFont="1" applyFill="1" applyBorder="1" applyAlignment="1">
      <alignment horizontal="left" vertical="center" wrapText="1"/>
    </xf>
    <xf numFmtId="38" fontId="4" fillId="0" borderId="49" xfId="1" applyFont="1" applyFill="1" applyBorder="1" applyAlignment="1">
      <alignment horizontal="left" vertical="center" wrapText="1"/>
    </xf>
    <xf numFmtId="38" fontId="81" fillId="5" borderId="32" xfId="1" applyFont="1" applyFill="1" applyBorder="1" applyAlignment="1">
      <alignment horizontal="center" vertical="center"/>
    </xf>
    <xf numFmtId="38" fontId="81" fillId="5" borderId="48" xfId="1" applyFont="1" applyFill="1" applyBorder="1" applyAlignment="1">
      <alignment horizontal="center" vertical="center"/>
    </xf>
    <xf numFmtId="38" fontId="27" fillId="5" borderId="49" xfId="1" applyFont="1" applyFill="1" applyBorder="1" applyAlignment="1">
      <alignment horizontal="left" vertical="center" wrapText="1"/>
    </xf>
    <xf numFmtId="38" fontId="10" fillId="0" borderId="32" xfId="1" applyFont="1" applyFill="1" applyBorder="1" applyAlignment="1">
      <alignment horizontal="center" vertical="center" wrapText="1"/>
    </xf>
    <xf numFmtId="38" fontId="10" fillId="0" borderId="48" xfId="1" applyFont="1" applyFill="1" applyBorder="1" applyAlignment="1">
      <alignment horizontal="center" vertical="center" wrapText="1"/>
    </xf>
    <xf numFmtId="38" fontId="27" fillId="0" borderId="32" xfId="1" applyFont="1" applyFill="1" applyBorder="1" applyAlignment="1">
      <alignment horizontal="center" vertical="center" wrapText="1"/>
    </xf>
    <xf numFmtId="38" fontId="27" fillId="0" borderId="48" xfId="1" applyFont="1" applyFill="1" applyBorder="1" applyAlignment="1">
      <alignment horizontal="center" vertical="center" wrapText="1"/>
    </xf>
    <xf numFmtId="180" fontId="34" fillId="5" borderId="16" xfId="1" applyNumberFormat="1" applyFont="1" applyFill="1" applyBorder="1" applyAlignment="1" applyProtection="1">
      <alignment horizontal="center" vertical="center" shrinkToFit="1"/>
    </xf>
    <xf numFmtId="49" fontId="5" fillId="0" borderId="5" xfId="1" applyNumberFormat="1" applyFont="1" applyFill="1" applyBorder="1" applyAlignment="1" applyProtection="1">
      <alignment horizontal="center" vertical="center"/>
    </xf>
    <xf numFmtId="49" fontId="9" fillId="0" borderId="6" xfId="1" applyNumberFormat="1" applyFont="1" applyFill="1" applyBorder="1" applyAlignment="1" applyProtection="1">
      <alignment horizontal="center" vertical="center"/>
    </xf>
    <xf numFmtId="49" fontId="9" fillId="0" borderId="7" xfId="1" applyNumberFormat="1" applyFont="1" applyFill="1" applyBorder="1" applyAlignment="1" applyProtection="1">
      <alignment horizontal="center" vertical="center"/>
    </xf>
    <xf numFmtId="38" fontId="10" fillId="5" borderId="20" xfId="1" applyFont="1" applyFill="1" applyBorder="1" applyAlignment="1" applyProtection="1">
      <alignment horizontal="left" vertical="center"/>
    </xf>
    <xf numFmtId="38" fontId="10" fillId="5" borderId="21" xfId="1" applyFont="1" applyFill="1" applyBorder="1" applyAlignment="1" applyProtection="1">
      <alignment horizontal="left" vertical="center"/>
    </xf>
    <xf numFmtId="38" fontId="1" fillId="0" borderId="32" xfId="1" applyFont="1" applyFill="1" applyBorder="1" applyAlignment="1">
      <alignment horizontal="center" vertical="center"/>
    </xf>
    <xf numFmtId="38" fontId="1" fillId="0" borderId="48" xfId="1" applyFont="1" applyFill="1" applyBorder="1" applyAlignment="1">
      <alignment horizontal="center" vertical="center"/>
    </xf>
    <xf numFmtId="38" fontId="5" fillId="6" borderId="20" xfId="1" applyFont="1" applyFill="1" applyBorder="1" applyAlignment="1" applyProtection="1">
      <alignment horizontal="center" vertical="center"/>
    </xf>
    <xf numFmtId="38" fontId="5" fillId="6" borderId="21" xfId="1" applyFont="1" applyFill="1" applyBorder="1" applyAlignment="1" applyProtection="1">
      <alignment horizontal="center" vertical="center"/>
    </xf>
    <xf numFmtId="38" fontId="5" fillId="6" borderId="40" xfId="1" applyFont="1" applyFill="1" applyBorder="1" applyAlignment="1" applyProtection="1">
      <alignment horizontal="center" vertical="center"/>
    </xf>
    <xf numFmtId="38" fontId="5" fillId="6" borderId="24" xfId="1" applyFont="1" applyFill="1" applyBorder="1" applyAlignment="1" applyProtection="1">
      <alignment horizontal="center" vertical="center"/>
    </xf>
    <xf numFmtId="38" fontId="5" fillId="6" borderId="12" xfId="1" applyFont="1" applyFill="1" applyBorder="1" applyAlignment="1" applyProtection="1">
      <alignment horizontal="center" vertical="center"/>
    </xf>
    <xf numFmtId="38" fontId="5" fillId="6" borderId="25" xfId="1" applyFont="1" applyFill="1" applyBorder="1" applyAlignment="1" applyProtection="1">
      <alignment horizontal="center" vertical="center"/>
    </xf>
    <xf numFmtId="38" fontId="15" fillId="0" borderId="17" xfId="1" applyFont="1" applyFill="1" applyBorder="1" applyAlignment="1" applyProtection="1">
      <alignment horizontal="right" vertical="center"/>
    </xf>
    <xf numFmtId="38" fontId="15" fillId="0" borderId="7" xfId="1" applyFont="1" applyFill="1" applyBorder="1" applyAlignment="1" applyProtection="1">
      <alignment horizontal="right" vertical="center"/>
    </xf>
    <xf numFmtId="38" fontId="15" fillId="0" borderId="40" xfId="1" applyFont="1" applyFill="1" applyBorder="1" applyAlignment="1" applyProtection="1">
      <alignment horizontal="right" vertical="center"/>
    </xf>
    <xf numFmtId="38" fontId="15" fillId="0" borderId="48" xfId="1" applyFont="1" applyFill="1" applyBorder="1" applyAlignment="1" applyProtection="1">
      <alignment horizontal="right" vertical="center"/>
    </xf>
    <xf numFmtId="0" fontId="3" fillId="0" borderId="294" xfId="0" applyFont="1" applyFill="1" applyBorder="1" applyAlignment="1" applyProtection="1">
      <alignment horizontal="center" vertical="center" textRotation="255"/>
    </xf>
    <xf numFmtId="0" fontId="3" fillId="0" borderId="295" xfId="0" applyFont="1" applyFill="1" applyBorder="1" applyAlignment="1" applyProtection="1">
      <alignment horizontal="center" vertical="center" textRotation="255"/>
    </xf>
    <xf numFmtId="0" fontId="3" fillId="0" borderId="296" xfId="0" applyFont="1" applyFill="1" applyBorder="1" applyAlignment="1" applyProtection="1">
      <alignment horizontal="center" vertical="center" textRotation="255"/>
    </xf>
    <xf numFmtId="38" fontId="3" fillId="0" borderId="273" xfId="1" applyFont="1" applyFill="1" applyBorder="1" applyAlignment="1" applyProtection="1">
      <alignment horizontal="center" vertical="center"/>
    </xf>
    <xf numFmtId="38" fontId="9" fillId="0" borderId="28" xfId="1" applyFont="1" applyFill="1" applyBorder="1" applyAlignment="1" applyProtection="1">
      <alignment horizontal="center" vertical="center"/>
    </xf>
    <xf numFmtId="38" fontId="15" fillId="4" borderId="58" xfId="1" applyFont="1" applyFill="1" applyBorder="1" applyAlignment="1" applyProtection="1">
      <alignment horizontal="right" vertical="center"/>
    </xf>
    <xf numFmtId="38" fontId="15" fillId="4" borderId="30" xfId="1" applyFont="1" applyFill="1" applyBorder="1" applyAlignment="1" applyProtection="1">
      <alignment horizontal="right" vertical="center"/>
    </xf>
    <xf numFmtId="0" fontId="35" fillId="0" borderId="0" xfId="0" applyFont="1" applyFill="1" applyAlignment="1" applyProtection="1">
      <alignment horizontal="center" vertical="center"/>
    </xf>
    <xf numFmtId="0" fontId="35" fillId="0" borderId="0" xfId="0" applyFont="1" applyFill="1" applyAlignment="1" applyProtection="1">
      <alignment horizontal="left" vertical="center"/>
    </xf>
    <xf numFmtId="180" fontId="19" fillId="0" borderId="290" xfId="0" applyNumberFormat="1" applyFont="1" applyFill="1" applyBorder="1" applyAlignment="1" applyProtection="1">
      <alignment horizontal="center" vertical="center" shrinkToFit="1"/>
    </xf>
    <xf numFmtId="180" fontId="19" fillId="0" borderId="21" xfId="0" applyNumberFormat="1" applyFont="1" applyFill="1" applyBorder="1" applyAlignment="1" applyProtection="1">
      <alignment horizontal="center" vertical="center" shrinkToFit="1"/>
    </xf>
    <xf numFmtId="180" fontId="19" fillId="0" borderId="169" xfId="0" applyNumberFormat="1" applyFont="1" applyFill="1" applyBorder="1" applyAlignment="1" applyProtection="1">
      <alignment horizontal="center" vertical="center" shrinkToFit="1"/>
    </xf>
    <xf numFmtId="38" fontId="15" fillId="0" borderId="0" xfId="1" applyFont="1" applyFill="1" applyBorder="1" applyAlignment="1" applyProtection="1">
      <alignment horizontal="center" vertical="center"/>
    </xf>
    <xf numFmtId="3" fontId="3" fillId="0" borderId="0" xfId="0" applyNumberFormat="1"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3" fontId="5" fillId="0" borderId="0" xfId="0" applyNumberFormat="1" applyFont="1" applyFill="1" applyBorder="1" applyAlignment="1" applyProtection="1">
      <alignment horizontal="center" vertical="center"/>
    </xf>
    <xf numFmtId="0" fontId="3" fillId="0" borderId="44" xfId="0" applyFont="1" applyFill="1" applyBorder="1" applyAlignment="1" applyProtection="1">
      <alignment horizontal="left" vertical="center"/>
    </xf>
    <xf numFmtId="0" fontId="15" fillId="0" borderId="6" xfId="0" applyFont="1" applyFill="1" applyBorder="1" applyAlignment="1" applyProtection="1">
      <alignment horizontal="center" vertical="center"/>
    </xf>
    <xf numFmtId="180" fontId="15" fillId="0" borderId="39" xfId="0" applyNumberFormat="1" applyFont="1" applyFill="1" applyBorder="1" applyAlignment="1" applyProtection="1">
      <alignment horizontal="center" vertical="center"/>
    </xf>
    <xf numFmtId="180" fontId="15" fillId="0" borderId="9" xfId="0" applyNumberFormat="1" applyFont="1" applyFill="1" applyBorder="1" applyAlignment="1" applyProtection="1">
      <alignment horizontal="center" vertical="center"/>
    </xf>
    <xf numFmtId="38" fontId="3" fillId="0" borderId="10" xfId="1" applyFont="1" applyFill="1" applyBorder="1" applyAlignment="1" applyProtection="1">
      <alignment horizontal="center" vertical="center"/>
    </xf>
    <xf numFmtId="38" fontId="15" fillId="0" borderId="32" xfId="1" applyFont="1" applyFill="1" applyBorder="1" applyAlignment="1" applyProtection="1">
      <alignment horizontal="right" vertical="center"/>
    </xf>
    <xf numFmtId="38" fontId="15" fillId="3" borderId="31" xfId="1" applyFont="1" applyFill="1" applyBorder="1" applyAlignment="1" applyProtection="1">
      <alignment vertical="center"/>
    </xf>
    <xf numFmtId="0" fontId="3" fillId="3" borderId="15" xfId="0" applyFont="1" applyFill="1" applyBorder="1" applyAlignment="1" applyProtection="1">
      <alignment horizontal="center" vertical="center"/>
    </xf>
    <xf numFmtId="0" fontId="3" fillId="3" borderId="14" xfId="0" applyFont="1" applyFill="1" applyBorder="1" applyAlignment="1" applyProtection="1">
      <alignment horizontal="center" vertical="center"/>
    </xf>
    <xf numFmtId="3" fontId="15" fillId="3" borderId="31" xfId="0" applyNumberFormat="1" applyFont="1" applyFill="1" applyBorder="1" applyAlignment="1" applyProtection="1">
      <alignment vertical="center" shrinkToFit="1"/>
    </xf>
    <xf numFmtId="0" fontId="15" fillId="3" borderId="31" xfId="0" applyFont="1" applyFill="1" applyBorder="1" applyAlignment="1" applyProtection="1">
      <alignment vertical="center" shrinkToFit="1"/>
    </xf>
    <xf numFmtId="38" fontId="15" fillId="0" borderId="58" xfId="1" applyFont="1" applyFill="1" applyBorder="1" applyAlignment="1" applyProtection="1">
      <alignment horizontal="right" vertical="center"/>
    </xf>
    <xf numFmtId="38" fontId="15" fillId="0" borderId="30" xfId="1" applyFont="1" applyFill="1" applyBorder="1" applyAlignment="1" applyProtection="1">
      <alignment horizontal="right" vertical="center"/>
    </xf>
    <xf numFmtId="38" fontId="15" fillId="0" borderId="41" xfId="1" applyFont="1" applyFill="1" applyBorder="1" applyAlignment="1" applyProtection="1">
      <alignment horizontal="right" vertical="center"/>
    </xf>
    <xf numFmtId="38" fontId="15" fillId="0" borderId="52" xfId="1" applyFont="1" applyFill="1" applyBorder="1" applyAlignment="1" applyProtection="1">
      <alignment horizontal="right" vertical="center"/>
    </xf>
    <xf numFmtId="182" fontId="16" fillId="7" borderId="31" xfId="1" applyNumberFormat="1" applyFont="1" applyFill="1" applyBorder="1" applyAlignment="1" applyProtection="1">
      <alignment horizontal="center" vertical="center" shrinkToFit="1"/>
    </xf>
    <xf numFmtId="182" fontId="16" fillId="7" borderId="14" xfId="1" applyNumberFormat="1" applyFont="1" applyFill="1" applyBorder="1" applyAlignment="1" applyProtection="1">
      <alignment horizontal="center" vertical="center" shrinkToFit="1"/>
    </xf>
    <xf numFmtId="49" fontId="9" fillId="7" borderId="29" xfId="1" applyNumberFormat="1" applyFont="1" applyFill="1" applyBorder="1" applyAlignment="1" applyProtection="1">
      <alignment horizontal="center" vertical="center"/>
    </xf>
    <xf numFmtId="180" fontId="34" fillId="6" borderId="31" xfId="1" applyNumberFormat="1" applyFont="1" applyFill="1" applyBorder="1" applyAlignment="1" applyProtection="1">
      <alignment horizontal="center" vertical="center" shrinkToFit="1"/>
    </xf>
    <xf numFmtId="180" fontId="34" fillId="6" borderId="14" xfId="1" applyNumberFormat="1" applyFont="1" applyFill="1" applyBorder="1" applyAlignment="1" applyProtection="1">
      <alignment horizontal="center" vertical="center" shrinkToFit="1"/>
    </xf>
    <xf numFmtId="3" fontId="17" fillId="0" borderId="50" xfId="0" applyNumberFormat="1" applyFont="1" applyFill="1" applyBorder="1" applyAlignment="1" applyProtection="1">
      <alignment horizontal="right" vertical="center"/>
    </xf>
    <xf numFmtId="3" fontId="78" fillId="0" borderId="0" xfId="0" applyNumberFormat="1" applyFont="1" applyFill="1" applyBorder="1" applyAlignment="1" applyProtection="1">
      <alignment horizontal="center" vertical="center"/>
    </xf>
    <xf numFmtId="38" fontId="15" fillId="0" borderId="0" xfId="1" applyFont="1" applyFill="1" applyBorder="1" applyAlignment="1" applyProtection="1">
      <alignment horizontal="right" vertical="center"/>
    </xf>
    <xf numFmtId="3" fontId="15" fillId="0" borderId="0" xfId="0" applyNumberFormat="1" applyFont="1" applyFill="1" applyBorder="1" applyAlignment="1" applyProtection="1">
      <alignment horizontal="right" vertical="center"/>
    </xf>
    <xf numFmtId="0" fontId="33" fillId="0" borderId="0" xfId="0" applyFont="1" applyFill="1" applyBorder="1" applyAlignment="1" applyProtection="1">
      <alignment vertical="center"/>
    </xf>
    <xf numFmtId="0" fontId="25" fillId="0" borderId="0" xfId="0" applyFont="1" applyFill="1" applyBorder="1" applyAlignment="1" applyProtection="1">
      <alignment horizontal="left" vertical="center"/>
    </xf>
    <xf numFmtId="3" fontId="10" fillId="0" borderId="0" xfId="0" applyNumberFormat="1"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180" fontId="34" fillId="0" borderId="0" xfId="0" applyNumberFormat="1" applyFont="1" applyFill="1" applyBorder="1" applyAlignment="1" applyProtection="1">
      <alignment horizontal="center" vertical="center"/>
    </xf>
    <xf numFmtId="180" fontId="34" fillId="0" borderId="44" xfId="0" applyNumberFormat="1" applyFont="1" applyFill="1" applyBorder="1" applyAlignment="1" applyProtection="1">
      <alignment horizontal="center" vertical="center"/>
    </xf>
    <xf numFmtId="0" fontId="3" fillId="3" borderId="28"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176" fontId="15" fillId="0" borderId="0" xfId="0" applyNumberFormat="1" applyFont="1" applyFill="1" applyBorder="1" applyAlignment="1" applyProtection="1">
      <alignment horizontal="center" vertical="center"/>
    </xf>
    <xf numFmtId="180" fontId="21" fillId="0" borderId="0" xfId="0" applyNumberFormat="1" applyFont="1" applyFill="1" applyBorder="1" applyAlignment="1" applyProtection="1">
      <alignment horizontal="center" vertical="center"/>
    </xf>
    <xf numFmtId="180" fontId="21" fillId="0" borderId="44" xfId="0" applyNumberFormat="1" applyFont="1" applyFill="1" applyBorder="1" applyAlignment="1" applyProtection="1">
      <alignment horizontal="center" vertical="center"/>
    </xf>
    <xf numFmtId="3" fontId="15" fillId="0" borderId="0" xfId="0" applyNumberFormat="1" applyFont="1" applyFill="1" applyBorder="1" applyAlignment="1" applyProtection="1">
      <alignment horizontal="center" vertical="center"/>
    </xf>
    <xf numFmtId="181" fontId="32" fillId="0" borderId="0" xfId="0" applyNumberFormat="1" applyFont="1" applyFill="1" applyAlignment="1" applyProtection="1">
      <alignment horizontal="center" vertical="center"/>
    </xf>
    <xf numFmtId="0" fontId="5" fillId="0" borderId="43" xfId="0" applyFont="1" applyFill="1" applyBorder="1" applyAlignment="1" applyProtection="1">
      <alignment horizontal="center" vertical="center"/>
    </xf>
    <xf numFmtId="0" fontId="5" fillId="0" borderId="0" xfId="0" applyFont="1" applyFill="1" applyBorder="1" applyAlignment="1" applyProtection="1">
      <alignment horizontal="right" vertical="center"/>
    </xf>
    <xf numFmtId="0" fontId="87" fillId="0" borderId="12" xfId="0" applyNumberFormat="1" applyFont="1" applyFill="1" applyBorder="1" applyAlignment="1" applyProtection="1">
      <alignment horizontal="center" vertical="center"/>
    </xf>
    <xf numFmtId="0" fontId="3" fillId="0" borderId="43" xfId="0" applyFont="1" applyFill="1" applyBorder="1" applyAlignment="1" applyProtection="1">
      <alignment horizontal="left" vertical="center"/>
    </xf>
    <xf numFmtId="38" fontId="23" fillId="0" borderId="46" xfId="1" applyFont="1" applyFill="1" applyBorder="1" applyAlignment="1" applyProtection="1">
      <alignment horizontal="left" vertical="center"/>
    </xf>
    <xf numFmtId="38" fontId="3" fillId="0" borderId="38" xfId="1" applyFont="1" applyFill="1" applyBorder="1" applyAlignment="1" applyProtection="1">
      <alignment horizontal="center" vertical="center"/>
    </xf>
    <xf numFmtId="38" fontId="3" fillId="0" borderId="181" xfId="1" applyFont="1" applyFill="1" applyBorder="1" applyAlignment="1" applyProtection="1">
      <alignment horizontal="center" vertical="center"/>
    </xf>
    <xf numFmtId="38" fontId="15" fillId="0" borderId="25" xfId="1" applyFont="1" applyFill="1" applyBorder="1" applyAlignment="1" applyProtection="1">
      <alignment horizontal="right" vertical="center"/>
    </xf>
    <xf numFmtId="38" fontId="3" fillId="0" borderId="32" xfId="1" applyFont="1" applyFill="1" applyBorder="1" applyAlignment="1" applyProtection="1">
      <alignment horizontal="center" vertical="center" wrapText="1"/>
    </xf>
    <xf numFmtId="38" fontId="3" fillId="0" borderId="49" xfId="1" applyFont="1" applyFill="1" applyBorder="1" applyAlignment="1" applyProtection="1">
      <alignment horizontal="center" vertical="center" wrapText="1"/>
    </xf>
    <xf numFmtId="0" fontId="57" fillId="0" borderId="0" xfId="0" applyFont="1" applyFill="1" applyAlignment="1" applyProtection="1">
      <alignment horizontal="left" vertical="center"/>
    </xf>
    <xf numFmtId="0" fontId="10" fillId="0" borderId="0" xfId="0" applyFont="1" applyFill="1" applyAlignment="1" applyProtection="1">
      <alignment horizontal="right" vertical="center"/>
    </xf>
    <xf numFmtId="0" fontId="43" fillId="0" borderId="1" xfId="0" applyFont="1" applyFill="1" applyBorder="1" applyAlignment="1" applyProtection="1">
      <alignment horizontal="center" vertical="center"/>
    </xf>
    <xf numFmtId="0" fontId="43" fillId="0" borderId="0" xfId="0" applyFont="1" applyFill="1" applyBorder="1" applyAlignment="1" applyProtection="1">
      <alignment horizontal="center" vertical="center"/>
    </xf>
    <xf numFmtId="38" fontId="5" fillId="3" borderId="20" xfId="1" applyFont="1" applyFill="1" applyBorder="1" applyAlignment="1" applyProtection="1">
      <alignment horizontal="center" vertical="center"/>
    </xf>
    <xf numFmtId="38" fontId="5" fillId="3" borderId="21" xfId="1" applyFont="1" applyFill="1" applyBorder="1" applyAlignment="1" applyProtection="1">
      <alignment horizontal="center" vertical="center"/>
    </xf>
    <xf numFmtId="38" fontId="5" fillId="3" borderId="40" xfId="1" applyFont="1" applyFill="1" applyBorder="1" applyAlignment="1" applyProtection="1">
      <alignment horizontal="center" vertical="center"/>
    </xf>
    <xf numFmtId="38" fontId="5" fillId="3" borderId="24" xfId="1" applyFont="1" applyFill="1" applyBorder="1" applyAlignment="1" applyProtection="1">
      <alignment horizontal="center" vertical="center"/>
    </xf>
    <xf numFmtId="38" fontId="5" fillId="3" borderId="12" xfId="1" applyFont="1" applyFill="1" applyBorder="1" applyAlignment="1" applyProtection="1">
      <alignment horizontal="center" vertical="center"/>
    </xf>
    <xf numFmtId="38" fontId="5" fillId="3" borderId="25" xfId="1" applyFont="1" applyFill="1" applyBorder="1" applyAlignment="1" applyProtection="1">
      <alignment horizontal="center" vertical="center"/>
    </xf>
    <xf numFmtId="0" fontId="5" fillId="0" borderId="0" xfId="0" applyFont="1" applyFill="1" applyAlignment="1" applyProtection="1">
      <alignment horizontal="center" vertical="center"/>
    </xf>
    <xf numFmtId="38" fontId="23" fillId="0" borderId="0" xfId="1" applyFont="1" applyFill="1" applyBorder="1" applyAlignment="1" applyProtection="1">
      <alignment horizontal="center" vertical="center"/>
    </xf>
    <xf numFmtId="38" fontId="3" fillId="0" borderId="72" xfId="1" applyFont="1" applyFill="1" applyBorder="1" applyAlignment="1" applyProtection="1">
      <alignment horizontal="center" vertical="center"/>
    </xf>
    <xf numFmtId="38" fontId="3" fillId="0" borderId="96" xfId="1" applyFont="1" applyFill="1" applyBorder="1" applyAlignment="1" applyProtection="1">
      <alignment horizontal="center" vertical="center"/>
    </xf>
    <xf numFmtId="38" fontId="15" fillId="0" borderId="73" xfId="1" applyFont="1" applyFill="1" applyBorder="1" applyAlignment="1" applyProtection="1">
      <alignment horizontal="right" vertical="center"/>
    </xf>
    <xf numFmtId="38" fontId="15" fillId="0" borderId="97" xfId="1" applyFont="1" applyFill="1" applyBorder="1" applyAlignment="1" applyProtection="1">
      <alignment horizontal="right" vertical="center"/>
    </xf>
    <xf numFmtId="38" fontId="27" fillId="0" borderId="32" xfId="1" applyFont="1" applyFill="1" applyBorder="1" applyAlignment="1" applyProtection="1">
      <alignment horizontal="center" vertical="center" wrapText="1"/>
    </xf>
    <xf numFmtId="38" fontId="27" fillId="0" borderId="48" xfId="1" applyFont="1" applyFill="1" applyBorder="1" applyAlignment="1" applyProtection="1">
      <alignment horizontal="center" vertical="center" wrapText="1"/>
    </xf>
    <xf numFmtId="38" fontId="61" fillId="0" borderId="32" xfId="1" applyFont="1" applyFill="1" applyBorder="1" applyAlignment="1" applyProtection="1">
      <alignment horizontal="center" vertical="center"/>
    </xf>
    <xf numFmtId="38" fontId="61" fillId="0" borderId="48" xfId="1" applyFont="1" applyFill="1" applyBorder="1" applyAlignment="1" applyProtection="1">
      <alignment horizontal="center" vertical="center"/>
    </xf>
    <xf numFmtId="0" fontId="10" fillId="0" borderId="0" xfId="0" applyFont="1" applyFill="1" applyBorder="1" applyAlignment="1" applyProtection="1">
      <alignment horizontal="right" vertical="center"/>
    </xf>
    <xf numFmtId="180" fontId="19" fillId="0" borderId="291" xfId="0" applyNumberFormat="1" applyFont="1" applyFill="1" applyBorder="1" applyAlignment="1" applyProtection="1">
      <alignment horizontal="center" vertical="center" shrinkToFit="1"/>
    </xf>
    <xf numFmtId="180" fontId="19" fillId="0" borderId="292" xfId="0" applyNumberFormat="1" applyFont="1" applyFill="1" applyBorder="1" applyAlignment="1" applyProtection="1">
      <alignment horizontal="center" vertical="center" shrinkToFit="1"/>
    </xf>
    <xf numFmtId="38" fontId="5" fillId="0" borderId="12" xfId="1" applyFont="1" applyFill="1" applyBorder="1" applyAlignment="1" applyProtection="1">
      <alignment horizontal="center" vertical="center"/>
    </xf>
    <xf numFmtId="38" fontId="15" fillId="0" borderId="16" xfId="1" applyFont="1" applyFill="1" applyBorder="1" applyAlignment="1" applyProtection="1">
      <alignment horizontal="center" vertical="center"/>
    </xf>
    <xf numFmtId="38" fontId="15" fillId="0" borderId="59" xfId="1" applyFont="1" applyFill="1" applyBorder="1" applyAlignment="1" applyProtection="1">
      <alignment horizontal="center" vertical="center"/>
    </xf>
    <xf numFmtId="0" fontId="25" fillId="0" borderId="273" xfId="0" applyFont="1" applyFill="1" applyBorder="1" applyAlignment="1" applyProtection="1">
      <alignment horizontal="left" vertical="center" shrinkToFit="1"/>
    </xf>
    <xf numFmtId="0" fontId="3" fillId="6" borderId="29" xfId="0" applyFont="1" applyFill="1" applyBorder="1" applyAlignment="1" applyProtection="1">
      <alignment horizontal="center" vertical="center" shrinkToFit="1"/>
    </xf>
    <xf numFmtId="180" fontId="34" fillId="7" borderId="31" xfId="1" applyNumberFormat="1" applyFont="1" applyFill="1" applyBorder="1" applyAlignment="1" applyProtection="1">
      <alignment horizontal="center" vertical="center" shrinkToFit="1"/>
    </xf>
    <xf numFmtId="180" fontId="34" fillId="7" borderId="16" xfId="1" applyNumberFormat="1" applyFont="1" applyFill="1" applyBorder="1" applyAlignment="1" applyProtection="1">
      <alignment horizontal="center" vertical="center" shrinkToFit="1"/>
    </xf>
    <xf numFmtId="38" fontId="15" fillId="3" borderId="273" xfId="1" applyFont="1" applyFill="1" applyBorder="1" applyAlignment="1" applyProtection="1">
      <alignment vertical="center"/>
    </xf>
    <xf numFmtId="38" fontId="15" fillId="3" borderId="29" xfId="1" applyFont="1" applyFill="1" applyBorder="1" applyAlignment="1" applyProtection="1">
      <alignment vertical="center"/>
    </xf>
    <xf numFmtId="178" fontId="16" fillId="0" borderId="0" xfId="1" applyNumberFormat="1" applyFont="1" applyFill="1" applyAlignment="1" applyProtection="1">
      <alignment horizontal="center" vertical="center"/>
    </xf>
    <xf numFmtId="3" fontId="12" fillId="0" borderId="188" xfId="0" applyNumberFormat="1" applyFont="1" applyFill="1" applyBorder="1" applyAlignment="1" applyProtection="1">
      <alignment horizontal="center" vertical="center"/>
    </xf>
    <xf numFmtId="3" fontId="12" fillId="0" borderId="50" xfId="0" applyNumberFormat="1" applyFont="1" applyFill="1" applyBorder="1" applyAlignment="1" applyProtection="1">
      <alignment horizontal="center" vertical="center"/>
    </xf>
    <xf numFmtId="38" fontId="3" fillId="0" borderId="5" xfId="1" applyFont="1" applyFill="1" applyBorder="1" applyAlignment="1" applyProtection="1">
      <alignment horizontal="center" vertical="center"/>
    </xf>
    <xf numFmtId="38" fontId="3" fillId="0" borderId="260" xfId="1" applyFont="1" applyFill="1" applyBorder="1" applyAlignment="1" applyProtection="1">
      <alignment horizontal="center" vertical="center"/>
    </xf>
    <xf numFmtId="38" fontId="15" fillId="0" borderId="266" xfId="1" applyFont="1" applyFill="1" applyBorder="1" applyAlignment="1" applyProtection="1">
      <alignment vertical="center"/>
    </xf>
    <xf numFmtId="38" fontId="15" fillId="0" borderId="7" xfId="1" applyFont="1" applyFill="1" applyBorder="1" applyAlignment="1" applyProtection="1">
      <alignment vertical="center"/>
    </xf>
    <xf numFmtId="38" fontId="20" fillId="0" borderId="6" xfId="1" applyFont="1" applyFill="1" applyBorder="1" applyAlignment="1" applyProtection="1">
      <alignment horizontal="center" vertical="center"/>
    </xf>
    <xf numFmtId="3" fontId="3" fillId="0" borderId="0" xfId="0" applyNumberFormat="1" applyFont="1" applyFill="1" applyAlignment="1" applyProtection="1">
      <alignment horizontal="center" vertical="center"/>
    </xf>
    <xf numFmtId="0" fontId="22" fillId="0" borderId="293" xfId="0" applyFont="1" applyFill="1" applyBorder="1" applyAlignment="1" applyProtection="1">
      <alignment horizontal="center" vertical="center"/>
    </xf>
    <xf numFmtId="0" fontId="3" fillId="3" borderId="58" xfId="0" applyFont="1" applyFill="1" applyBorder="1" applyAlignment="1" applyProtection="1">
      <alignment horizontal="center" vertical="center"/>
    </xf>
    <xf numFmtId="0" fontId="3" fillId="3" borderId="30" xfId="0" applyFont="1" applyFill="1" applyBorder="1" applyAlignment="1" applyProtection="1">
      <alignment horizontal="center" vertical="center"/>
    </xf>
    <xf numFmtId="181" fontId="19" fillId="0" borderId="0" xfId="0" applyNumberFormat="1" applyFont="1" applyFill="1" applyAlignment="1" applyProtection="1">
      <alignment horizontal="center" vertical="center"/>
    </xf>
    <xf numFmtId="0" fontId="90" fillId="0" borderId="12" xfId="0" applyFont="1" applyFill="1" applyBorder="1" applyAlignment="1" applyProtection="1">
      <alignment horizontal="center" vertical="center"/>
    </xf>
    <xf numFmtId="0" fontId="90" fillId="0" borderId="25" xfId="0" applyFont="1" applyFill="1" applyBorder="1" applyAlignment="1" applyProtection="1">
      <alignment horizontal="center" vertical="center"/>
    </xf>
    <xf numFmtId="38" fontId="5" fillId="7" borderId="20" xfId="1" applyFont="1" applyFill="1" applyBorder="1" applyAlignment="1" applyProtection="1">
      <alignment horizontal="center" vertical="center"/>
    </xf>
    <xf numFmtId="38" fontId="5" fillId="7" borderId="21" xfId="1" applyFont="1" applyFill="1" applyBorder="1" applyAlignment="1" applyProtection="1">
      <alignment horizontal="center" vertical="center"/>
    </xf>
    <xf numFmtId="38" fontId="5" fillId="7" borderId="40" xfId="1" applyFont="1" applyFill="1" applyBorder="1" applyAlignment="1" applyProtection="1">
      <alignment horizontal="center" vertical="center"/>
    </xf>
    <xf numFmtId="38" fontId="5" fillId="7" borderId="24" xfId="1" applyFont="1" applyFill="1" applyBorder="1" applyAlignment="1" applyProtection="1">
      <alignment horizontal="center" vertical="center"/>
    </xf>
    <xf numFmtId="38" fontId="5" fillId="7" borderId="12" xfId="1" applyFont="1" applyFill="1" applyBorder="1" applyAlignment="1" applyProtection="1">
      <alignment horizontal="center" vertical="center"/>
    </xf>
    <xf numFmtId="38" fontId="5" fillId="7" borderId="25" xfId="1" applyFont="1" applyFill="1" applyBorder="1" applyAlignment="1" applyProtection="1">
      <alignment horizontal="center" vertical="center"/>
    </xf>
    <xf numFmtId="3" fontId="3" fillId="0" borderId="197" xfId="0" applyNumberFormat="1"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59</xdr:row>
      <xdr:rowOff>161925</xdr:rowOff>
    </xdr:from>
    <xdr:to>
      <xdr:col>6</xdr:col>
      <xdr:colOff>47625</xdr:colOff>
      <xdr:row>72</xdr:row>
      <xdr:rowOff>152400</xdr:rowOff>
    </xdr:to>
    <xdr:pic>
      <xdr:nvPicPr>
        <xdr:cNvPr id="34551"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1582400"/>
          <a:ext cx="3400425" cy="234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75</xdr:row>
      <xdr:rowOff>28575</xdr:rowOff>
    </xdr:from>
    <xdr:to>
      <xdr:col>6</xdr:col>
      <xdr:colOff>266700</xdr:colOff>
      <xdr:row>88</xdr:row>
      <xdr:rowOff>85725</xdr:rowOff>
    </xdr:to>
    <xdr:pic>
      <xdr:nvPicPr>
        <xdr:cNvPr id="34552" name="図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418129"/>
          <a:ext cx="3682093" cy="2445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533399</xdr:colOff>
      <xdr:row>12</xdr:row>
      <xdr:rowOff>161925</xdr:rowOff>
    </xdr:from>
    <xdr:to>
      <xdr:col>11</xdr:col>
      <xdr:colOff>771524</xdr:colOff>
      <xdr:row>16</xdr:row>
      <xdr:rowOff>133350</xdr:rowOff>
    </xdr:to>
    <xdr:sp macro="" textlink="">
      <xdr:nvSpPr>
        <xdr:cNvPr id="13" name="角丸四角形 12"/>
        <xdr:cNvSpPr/>
      </xdr:nvSpPr>
      <xdr:spPr>
        <a:xfrm>
          <a:off x="5534024" y="2286000"/>
          <a:ext cx="1895475" cy="914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入力例</a:t>
          </a:r>
          <a:r>
            <a:rPr kumimoji="1" lang="en-US" altLang="ja-JP" sz="1000">
              <a:latin typeface="HG丸ｺﾞｼｯｸM-PRO" panose="020F0600000000000000" pitchFamily="50" charset="-128"/>
              <a:ea typeface="HG丸ｺﾞｼｯｸM-PRO" panose="020F0600000000000000" pitchFamily="50" charset="-128"/>
            </a:rPr>
            <a:t>〉</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495302</xdr:colOff>
      <xdr:row>72</xdr:row>
      <xdr:rowOff>95251</xdr:rowOff>
    </xdr:from>
    <xdr:to>
      <xdr:col>9</xdr:col>
      <xdr:colOff>504826</xdr:colOff>
      <xdr:row>76</xdr:row>
      <xdr:rowOff>0</xdr:rowOff>
    </xdr:to>
    <xdr:sp macro="" textlink="">
      <xdr:nvSpPr>
        <xdr:cNvPr id="11" name="星 5 10"/>
        <xdr:cNvSpPr/>
      </xdr:nvSpPr>
      <xdr:spPr>
        <a:xfrm>
          <a:off x="5086352" y="13201651"/>
          <a:ext cx="676274" cy="628649"/>
        </a:xfrm>
        <a:prstGeom prst="star5">
          <a:avLst>
            <a:gd name="adj" fmla="val 20188"/>
            <a:gd name="hf" fmla="val 105146"/>
            <a:gd name="vf" fmla="val 11055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rPr>
            <a:t>3</a:t>
          </a:r>
          <a:endParaRPr kumimoji="1" lang="ja-JP" altLang="en-US" sz="1400" b="1">
            <a:solidFill>
              <a:schemeClr val="tx1"/>
            </a:solidFill>
          </a:endParaRPr>
        </a:p>
      </xdr:txBody>
    </xdr:sp>
    <xdr:clientData/>
  </xdr:twoCellAnchor>
  <xdr:twoCellAnchor>
    <xdr:from>
      <xdr:col>8</xdr:col>
      <xdr:colOff>561975</xdr:colOff>
      <xdr:row>63</xdr:row>
      <xdr:rowOff>161926</xdr:rowOff>
    </xdr:from>
    <xdr:to>
      <xdr:col>9</xdr:col>
      <xdr:colOff>514350</xdr:colOff>
      <xdr:row>67</xdr:row>
      <xdr:rowOff>9526</xdr:rowOff>
    </xdr:to>
    <xdr:sp macro="" textlink="">
      <xdr:nvSpPr>
        <xdr:cNvPr id="27" name="星 5 26"/>
        <xdr:cNvSpPr/>
      </xdr:nvSpPr>
      <xdr:spPr>
        <a:xfrm>
          <a:off x="5153025" y="11639551"/>
          <a:ext cx="619125" cy="571500"/>
        </a:xfrm>
        <a:prstGeom prst="star5">
          <a:avLst>
            <a:gd name="adj" fmla="val 20188"/>
            <a:gd name="hf" fmla="val 105146"/>
            <a:gd name="vf" fmla="val 11055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rPr>
            <a:t>2</a:t>
          </a:r>
          <a:endParaRPr kumimoji="1" lang="ja-JP" altLang="en-US" sz="1400" b="1">
            <a:solidFill>
              <a:schemeClr val="tx1"/>
            </a:solidFill>
          </a:endParaRPr>
        </a:p>
      </xdr:txBody>
    </xdr:sp>
    <xdr:clientData/>
  </xdr:twoCellAnchor>
  <xdr:twoCellAnchor>
    <xdr:from>
      <xdr:col>8</xdr:col>
      <xdr:colOff>523875</xdr:colOff>
      <xdr:row>61</xdr:row>
      <xdr:rowOff>171450</xdr:rowOff>
    </xdr:from>
    <xdr:to>
      <xdr:col>9</xdr:col>
      <xdr:colOff>66675</xdr:colOff>
      <xdr:row>63</xdr:row>
      <xdr:rowOff>85725</xdr:rowOff>
    </xdr:to>
    <xdr:cxnSp macro="">
      <xdr:nvCxnSpPr>
        <xdr:cNvPr id="40" name="直線矢印コネクタ 39"/>
        <xdr:cNvCxnSpPr/>
      </xdr:nvCxnSpPr>
      <xdr:spPr>
        <a:xfrm flipH="1">
          <a:off x="5114925" y="11287125"/>
          <a:ext cx="209550" cy="2762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390525</xdr:colOff>
      <xdr:row>74</xdr:row>
      <xdr:rowOff>28575</xdr:rowOff>
    </xdr:from>
    <xdr:to>
      <xdr:col>8</xdr:col>
      <xdr:colOff>657225</xdr:colOff>
      <xdr:row>75</xdr:row>
      <xdr:rowOff>38100</xdr:rowOff>
    </xdr:to>
    <xdr:cxnSp macro="">
      <xdr:nvCxnSpPr>
        <xdr:cNvPr id="48" name="直線矢印コネクタ 47"/>
        <xdr:cNvCxnSpPr/>
      </xdr:nvCxnSpPr>
      <xdr:spPr>
        <a:xfrm flipH="1" flipV="1">
          <a:off x="4981575" y="13496925"/>
          <a:ext cx="266700" cy="190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9</xdr:col>
      <xdr:colOff>676275</xdr:colOff>
      <xdr:row>13</xdr:row>
      <xdr:rowOff>228600</xdr:rowOff>
    </xdr:from>
    <xdr:to>
      <xdr:col>11</xdr:col>
      <xdr:colOff>638175</xdr:colOff>
      <xdr:row>15</xdr:row>
      <xdr:rowOff>228600</xdr:rowOff>
    </xdr:to>
    <xdr:pic>
      <xdr:nvPicPr>
        <xdr:cNvPr id="34558" name="図 5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76900" y="2867025"/>
          <a:ext cx="16192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781050</xdr:colOff>
      <xdr:row>34</xdr:row>
      <xdr:rowOff>123825</xdr:rowOff>
    </xdr:from>
    <xdr:to>
      <xdr:col>10</xdr:col>
      <xdr:colOff>371475</xdr:colOff>
      <xdr:row>36</xdr:row>
      <xdr:rowOff>28575</xdr:rowOff>
    </xdr:to>
    <xdr:pic>
      <xdr:nvPicPr>
        <xdr:cNvPr id="34559" name="図 2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81675" y="6934200"/>
          <a:ext cx="7620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34</xdr:row>
      <xdr:rowOff>9525</xdr:rowOff>
    </xdr:from>
    <xdr:to>
      <xdr:col>7</xdr:col>
      <xdr:colOff>419100</xdr:colOff>
      <xdr:row>35</xdr:row>
      <xdr:rowOff>57150</xdr:rowOff>
    </xdr:to>
    <xdr:sp macro="" textlink="">
      <xdr:nvSpPr>
        <xdr:cNvPr id="2" name="右矢印 1"/>
        <xdr:cNvSpPr/>
      </xdr:nvSpPr>
      <xdr:spPr>
        <a:xfrm>
          <a:off x="3924300" y="6315075"/>
          <a:ext cx="323850" cy="219075"/>
        </a:xfrm>
        <a:prstGeom prst="rightArrow">
          <a:avLst/>
        </a:prstGeom>
        <a:solidFill>
          <a:schemeClr val="accent2">
            <a:lumMod val="60000"/>
            <a:lumOff val="40000"/>
          </a:schemeClr>
        </a:solidFill>
        <a:ln>
          <a:solidFill>
            <a:schemeClr val="accent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176893</xdr:colOff>
      <xdr:row>65</xdr:row>
      <xdr:rowOff>95250</xdr:rowOff>
    </xdr:from>
    <xdr:to>
      <xdr:col>3</xdr:col>
      <xdr:colOff>421822</xdr:colOff>
      <xdr:row>67</xdr:row>
      <xdr:rowOff>170089</xdr:rowOff>
    </xdr:to>
    <xdr:sp macro="" textlink="">
      <xdr:nvSpPr>
        <xdr:cNvPr id="3" name="正方形/長方形 2"/>
        <xdr:cNvSpPr/>
      </xdr:nvSpPr>
      <xdr:spPr>
        <a:xfrm>
          <a:off x="1034143" y="12647839"/>
          <a:ext cx="857250" cy="44223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74840</xdr:colOff>
      <xdr:row>62</xdr:row>
      <xdr:rowOff>68036</xdr:rowOff>
    </xdr:from>
    <xdr:to>
      <xdr:col>4</xdr:col>
      <xdr:colOff>605518</xdr:colOff>
      <xdr:row>65</xdr:row>
      <xdr:rowOff>6804</xdr:rowOff>
    </xdr:to>
    <xdr:sp macro="" textlink="">
      <xdr:nvSpPr>
        <xdr:cNvPr id="4" name="線吹き出し 2 (枠付き) 3"/>
        <xdr:cNvSpPr/>
      </xdr:nvSpPr>
      <xdr:spPr>
        <a:xfrm>
          <a:off x="1544411" y="12069536"/>
          <a:ext cx="1081768" cy="489857"/>
        </a:xfrm>
        <a:prstGeom prst="borderCallout2">
          <a:avLst>
            <a:gd name="adj1" fmla="val 18750"/>
            <a:gd name="adj2" fmla="val -8333"/>
            <a:gd name="adj3" fmla="val 18750"/>
            <a:gd name="adj4" fmla="val -16667"/>
            <a:gd name="adj5" fmla="val 113889"/>
            <a:gd name="adj6" fmla="val -28428"/>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支払金額</a:t>
          </a:r>
        </a:p>
      </xdr:txBody>
    </xdr:sp>
    <xdr:clientData/>
  </xdr:twoCellAnchor>
  <xdr:twoCellAnchor>
    <xdr:from>
      <xdr:col>2</xdr:col>
      <xdr:colOff>47625</xdr:colOff>
      <xdr:row>77</xdr:row>
      <xdr:rowOff>88446</xdr:rowOff>
    </xdr:from>
    <xdr:to>
      <xdr:col>4</xdr:col>
      <xdr:colOff>435428</xdr:colOff>
      <xdr:row>80</xdr:row>
      <xdr:rowOff>68035</xdr:rowOff>
    </xdr:to>
    <xdr:sp macro="" textlink="">
      <xdr:nvSpPr>
        <xdr:cNvPr id="24" name="正方形/長方形 23"/>
        <xdr:cNvSpPr/>
      </xdr:nvSpPr>
      <xdr:spPr>
        <a:xfrm>
          <a:off x="904875" y="14845392"/>
          <a:ext cx="1551214" cy="53067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244928</xdr:colOff>
      <xdr:row>73</xdr:row>
      <xdr:rowOff>157843</xdr:rowOff>
    </xdr:from>
    <xdr:to>
      <xdr:col>5</xdr:col>
      <xdr:colOff>700768</xdr:colOff>
      <xdr:row>76</xdr:row>
      <xdr:rowOff>96611</xdr:rowOff>
    </xdr:to>
    <xdr:sp macro="" textlink="">
      <xdr:nvSpPr>
        <xdr:cNvPr id="29" name="線吹き出し 2 (枠付き) 28"/>
        <xdr:cNvSpPr/>
      </xdr:nvSpPr>
      <xdr:spPr>
        <a:xfrm>
          <a:off x="2265589" y="14180004"/>
          <a:ext cx="1081768" cy="489857"/>
        </a:xfrm>
        <a:prstGeom prst="borderCallout2">
          <a:avLst>
            <a:gd name="adj1" fmla="val 18750"/>
            <a:gd name="adj2" fmla="val -8333"/>
            <a:gd name="adj3" fmla="val 18750"/>
            <a:gd name="adj4" fmla="val -16667"/>
            <a:gd name="adj5" fmla="val 137500"/>
            <a:gd name="adj6" fmla="val -39749"/>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支払金額</a:t>
          </a:r>
        </a:p>
      </xdr:txBody>
    </xdr:sp>
    <xdr:clientData/>
  </xdr:twoCellAnchor>
  <xdr:twoCellAnchor editAs="oneCell">
    <xdr:from>
      <xdr:col>6</xdr:col>
      <xdr:colOff>190500</xdr:colOff>
      <xdr:row>59</xdr:row>
      <xdr:rowOff>38100</xdr:rowOff>
    </xdr:from>
    <xdr:to>
      <xdr:col>11</xdr:col>
      <xdr:colOff>898071</xdr:colOff>
      <xdr:row>87</xdr:row>
      <xdr:rowOff>76200</xdr:rowOff>
    </xdr:to>
    <xdr:pic>
      <xdr:nvPicPr>
        <xdr:cNvPr id="34565" name="図 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05225" y="11458575"/>
          <a:ext cx="3848100" cy="510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115138</xdr:colOff>
      <xdr:row>70</xdr:row>
      <xdr:rowOff>176785</xdr:rowOff>
    </xdr:from>
    <xdr:to>
      <xdr:col>9</xdr:col>
      <xdr:colOff>1068924</xdr:colOff>
      <xdr:row>71</xdr:row>
      <xdr:rowOff>159097</xdr:rowOff>
    </xdr:to>
    <xdr:sp macro="" textlink="">
      <xdr:nvSpPr>
        <xdr:cNvPr id="30" name="正方形/長方形 29"/>
        <xdr:cNvSpPr/>
      </xdr:nvSpPr>
      <xdr:spPr>
        <a:xfrm>
          <a:off x="3939792" y="13592381"/>
          <a:ext cx="2126094" cy="16548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115139</xdr:colOff>
      <xdr:row>71</xdr:row>
      <xdr:rowOff>160146</xdr:rowOff>
    </xdr:from>
    <xdr:to>
      <xdr:col>9</xdr:col>
      <xdr:colOff>1068925</xdr:colOff>
      <xdr:row>72</xdr:row>
      <xdr:rowOff>142457</xdr:rowOff>
    </xdr:to>
    <xdr:sp macro="" textlink="">
      <xdr:nvSpPr>
        <xdr:cNvPr id="31" name="正方形/長方形 30"/>
        <xdr:cNvSpPr/>
      </xdr:nvSpPr>
      <xdr:spPr>
        <a:xfrm>
          <a:off x="3939793" y="13758915"/>
          <a:ext cx="2126094" cy="16548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129269</xdr:colOff>
      <xdr:row>86</xdr:row>
      <xdr:rowOff>2</xdr:rowOff>
    </xdr:from>
    <xdr:to>
      <xdr:col>9</xdr:col>
      <xdr:colOff>1040947</xdr:colOff>
      <xdr:row>87</xdr:row>
      <xdr:rowOff>13606</xdr:rowOff>
    </xdr:to>
    <xdr:sp macro="" textlink="">
      <xdr:nvSpPr>
        <xdr:cNvPr id="32" name="正方形/長方形 31"/>
        <xdr:cNvSpPr/>
      </xdr:nvSpPr>
      <xdr:spPr>
        <a:xfrm>
          <a:off x="3958319" y="16306802"/>
          <a:ext cx="2083253" cy="19457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40823</xdr:colOff>
      <xdr:row>67</xdr:row>
      <xdr:rowOff>36634</xdr:rowOff>
    </xdr:from>
    <xdr:to>
      <xdr:col>9</xdr:col>
      <xdr:colOff>1084823</xdr:colOff>
      <xdr:row>69</xdr:row>
      <xdr:rowOff>159099</xdr:rowOff>
    </xdr:to>
    <xdr:sp macro="" textlink="">
      <xdr:nvSpPr>
        <xdr:cNvPr id="33" name="線吹き出し 2 (枠付き) 32"/>
        <xdr:cNvSpPr/>
      </xdr:nvSpPr>
      <xdr:spPr>
        <a:xfrm>
          <a:off x="5037785" y="12902711"/>
          <a:ext cx="1044000" cy="488811"/>
        </a:xfrm>
        <a:prstGeom prst="borderCallout2">
          <a:avLst>
            <a:gd name="adj1" fmla="val 18750"/>
            <a:gd name="adj2" fmla="val -8333"/>
            <a:gd name="adj3" fmla="val 18750"/>
            <a:gd name="adj4" fmla="val -16667"/>
            <a:gd name="adj5" fmla="val 140277"/>
            <a:gd name="adj6" fmla="val -28428"/>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給与</a:t>
          </a:r>
        </a:p>
      </xdr:txBody>
    </xdr:sp>
    <xdr:clientData/>
  </xdr:twoCellAnchor>
  <xdr:twoCellAnchor>
    <xdr:from>
      <xdr:col>9</xdr:col>
      <xdr:colOff>129269</xdr:colOff>
      <xdr:row>73</xdr:row>
      <xdr:rowOff>174801</xdr:rowOff>
    </xdr:from>
    <xdr:to>
      <xdr:col>10</xdr:col>
      <xdr:colOff>147054</xdr:colOff>
      <xdr:row>76</xdr:row>
      <xdr:rowOff>113569</xdr:rowOff>
    </xdr:to>
    <xdr:sp macro="" textlink="">
      <xdr:nvSpPr>
        <xdr:cNvPr id="34" name="線吹き出し 2 (枠付き) 33"/>
        <xdr:cNvSpPr/>
      </xdr:nvSpPr>
      <xdr:spPr>
        <a:xfrm>
          <a:off x="5126231" y="14139916"/>
          <a:ext cx="1190092" cy="488288"/>
        </a:xfrm>
        <a:prstGeom prst="borderCallout2">
          <a:avLst>
            <a:gd name="adj1" fmla="val 20139"/>
            <a:gd name="adj2" fmla="val -888"/>
            <a:gd name="adj3" fmla="val 18750"/>
            <a:gd name="adj4" fmla="val -16667"/>
            <a:gd name="adj5" fmla="val -38890"/>
            <a:gd name="adj6" fmla="val -35919"/>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公的年金等</a:t>
          </a:r>
        </a:p>
      </xdr:txBody>
    </xdr:sp>
    <xdr:clientData/>
  </xdr:twoCellAnchor>
  <xdr:twoCellAnchor>
    <xdr:from>
      <xdr:col>9</xdr:col>
      <xdr:colOff>55791</xdr:colOff>
      <xdr:row>81</xdr:row>
      <xdr:rowOff>53070</xdr:rowOff>
    </xdr:from>
    <xdr:to>
      <xdr:col>9</xdr:col>
      <xdr:colOff>1137559</xdr:colOff>
      <xdr:row>83</xdr:row>
      <xdr:rowOff>172813</xdr:rowOff>
    </xdr:to>
    <xdr:sp macro="" textlink="">
      <xdr:nvSpPr>
        <xdr:cNvPr id="35" name="線吹き出し 2 (枠付き) 34"/>
        <xdr:cNvSpPr/>
      </xdr:nvSpPr>
      <xdr:spPr>
        <a:xfrm>
          <a:off x="5056416" y="15454995"/>
          <a:ext cx="1081768" cy="481693"/>
        </a:xfrm>
        <a:prstGeom prst="borderCallout2">
          <a:avLst>
            <a:gd name="adj1" fmla="val 18750"/>
            <a:gd name="adj2" fmla="val -8333"/>
            <a:gd name="adj3" fmla="val 18750"/>
            <a:gd name="adj4" fmla="val -16667"/>
            <a:gd name="adj5" fmla="val 183333"/>
            <a:gd name="adj6" fmla="val -31572"/>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合計</a:t>
          </a:r>
        </a:p>
      </xdr:txBody>
    </xdr:sp>
    <xdr:clientData/>
  </xdr:twoCellAnchor>
  <xdr:twoCellAnchor editAs="oneCell">
    <xdr:from>
      <xdr:col>0</xdr:col>
      <xdr:colOff>81641</xdr:colOff>
      <xdr:row>89</xdr:row>
      <xdr:rowOff>43542</xdr:rowOff>
    </xdr:from>
    <xdr:to>
      <xdr:col>11</xdr:col>
      <xdr:colOff>836840</xdr:colOff>
      <xdr:row>111</xdr:row>
      <xdr:rowOff>16329</xdr:rowOff>
    </xdr:to>
    <xdr:sp macro="" textlink="">
      <xdr:nvSpPr>
        <xdr:cNvPr id="42" name="テキスト ボックス 41"/>
        <xdr:cNvSpPr txBox="1"/>
      </xdr:nvSpPr>
      <xdr:spPr>
        <a:xfrm>
          <a:off x="81641" y="16893267"/>
          <a:ext cx="7413174" cy="39828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HG丸ｺﾞｼｯｸM-PRO" panose="020F0600000000000000" pitchFamily="50" charset="-128"/>
              <a:ea typeface="HG丸ｺﾞｼｯｸM-PRO" panose="020F0600000000000000" pitchFamily="50" charset="-128"/>
            </a:rPr>
            <a:t>③給与収入欄</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左上図「給与所得の源泉徴収票」の支払金額、または右上図「確定申告書の写し</a:t>
          </a: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（第一表）</a:t>
          </a:r>
          <a:r>
            <a:rPr kumimoji="1" lang="ja-JP" altLang="en-US" sz="1200">
              <a:latin typeface="HG丸ｺﾞｼｯｸM-PRO" panose="020F0600000000000000" pitchFamily="50" charset="-128"/>
              <a:ea typeface="HG丸ｺﾞｼｯｸM-PRO" panose="020F0600000000000000" pitchFamily="50" charset="-128"/>
            </a:rPr>
            <a:t>」</a:t>
          </a:r>
          <a:r>
            <a:rPr kumimoji="1"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収入金額等欄の</a:t>
          </a:r>
          <a:r>
            <a:rPr kumimoji="1" lang="ja-JP" altLang="en-US" sz="1200">
              <a:latin typeface="HG丸ｺﾞｼｯｸM-PRO" panose="020F0600000000000000" pitchFamily="50" charset="-128"/>
              <a:ea typeface="HG丸ｺﾞｼｯｸM-PRO" panose="020F0600000000000000" pitchFamily="50" charset="-128"/>
            </a:rPr>
            <a:t>給与を入力。どちらの資料もない場合は、令和</a:t>
          </a:r>
          <a:r>
            <a:rPr kumimoji="1" lang="en-US" altLang="ja-JP" sz="1200">
              <a:latin typeface="HG丸ｺﾞｼｯｸM-PRO" panose="020F0600000000000000" pitchFamily="50" charset="-128"/>
              <a:ea typeface="HG丸ｺﾞｼｯｸM-PRO" panose="020F0600000000000000" pitchFamily="50" charset="-128"/>
            </a:rPr>
            <a:t>6</a:t>
          </a:r>
          <a:r>
            <a:rPr kumimoji="1" lang="ja-JP" altLang="en-US" sz="1200">
              <a:latin typeface="HG丸ｺﾞｼｯｸM-PRO" panose="020F0600000000000000" pitchFamily="50" charset="-128"/>
              <a:ea typeface="HG丸ｺﾞｼｯｸM-PRO" panose="020F0600000000000000" pitchFamily="50" charset="-128"/>
            </a:rPr>
            <a:t>年１月から令和</a:t>
          </a:r>
          <a:r>
            <a:rPr kumimoji="1" lang="en-US" altLang="ja-JP" sz="1200">
              <a:latin typeface="HG丸ｺﾞｼｯｸM-PRO" panose="020F0600000000000000" pitchFamily="50" charset="-128"/>
              <a:ea typeface="HG丸ｺﾞｼｯｸM-PRO" panose="020F0600000000000000" pitchFamily="50" charset="-128"/>
            </a:rPr>
            <a:t>6</a:t>
          </a:r>
          <a:r>
            <a:rPr kumimoji="1" lang="ja-JP" altLang="en-US" sz="1200">
              <a:latin typeface="HG丸ｺﾞｼｯｸM-PRO" panose="020F0600000000000000" pitchFamily="50" charset="-128"/>
              <a:ea typeface="HG丸ｺﾞｼｯｸM-PRO" panose="020F0600000000000000" pitchFamily="50" charset="-128"/>
            </a:rPr>
            <a:t>年１２月の給与明細・賞与明細等の総支給額の合計年額を入力。その場合、非課税の項目は含めません。</a:t>
          </a:r>
          <a:endParaRPr kumimoji="1" lang="en-US" altLang="ja-JP" sz="1200">
            <a:latin typeface="HG丸ｺﾞｼｯｸM-PRO" panose="020F0600000000000000" pitchFamily="50" charset="-128"/>
            <a:ea typeface="HG丸ｺﾞｼｯｸM-PRO" panose="020F0600000000000000" pitchFamily="50" charset="-128"/>
          </a:endParaRPr>
        </a:p>
        <a:p>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④年金収入欄</a:t>
          </a:r>
          <a:endParaRPr kumimoji="1" lang="en-US" altLang="ja-JP" sz="1200">
            <a:latin typeface="HG丸ｺﾞｼｯｸM-PRO" panose="020F0600000000000000" pitchFamily="50" charset="-128"/>
            <a:ea typeface="HG丸ｺﾞｼｯｸM-PRO" panose="020F0600000000000000" pitchFamily="50" charset="-128"/>
          </a:endParaRPr>
        </a:p>
        <a:p>
          <a:pPr>
            <a:lnSpc>
              <a:spcPts val="1300"/>
            </a:lnSpc>
          </a:pPr>
          <a:r>
            <a:rPr kumimoji="1" lang="ja-JP" altLang="en-US" sz="1200">
              <a:latin typeface="HG丸ｺﾞｼｯｸM-PRO" panose="020F0600000000000000" pitchFamily="50" charset="-128"/>
              <a:ea typeface="HG丸ｺﾞｼｯｸM-PRO" panose="020F0600000000000000" pitchFamily="50" charset="-128"/>
            </a:rPr>
            <a:t>　左上図「公的年金等の源泉徴収票」の支払金額、または右上図「確定申告書の写し</a:t>
          </a: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（第一表）</a:t>
          </a:r>
          <a:r>
            <a:rPr kumimoji="1" lang="ja-JP" altLang="en-US" sz="1200">
              <a:latin typeface="HG丸ｺﾞｼｯｸM-PRO" panose="020F0600000000000000" pitchFamily="50" charset="-128"/>
              <a:ea typeface="HG丸ｺﾞｼｯｸM-PRO" panose="020F0600000000000000" pitchFamily="50" charset="-128"/>
            </a:rPr>
            <a:t>」</a:t>
          </a:r>
          <a:r>
            <a:rPr kumimoji="1"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収入金額等欄</a:t>
          </a:r>
          <a:r>
            <a:rPr kumimoji="1" lang="ja-JP" altLang="en-US" sz="1200">
              <a:latin typeface="HG丸ｺﾞｼｯｸM-PRO" panose="020F0600000000000000" pitchFamily="50" charset="-128"/>
              <a:ea typeface="HG丸ｺﾞｼｯｸM-PRO" panose="020F0600000000000000" pitchFamily="50" charset="-128"/>
            </a:rPr>
            <a:t>の公的年金等を入力。</a:t>
          </a:r>
          <a:endParaRPr kumimoji="1" lang="en-US" altLang="ja-JP" sz="1200">
            <a:latin typeface="HG丸ｺﾞｼｯｸM-PRO" panose="020F0600000000000000" pitchFamily="50" charset="-128"/>
            <a:ea typeface="HG丸ｺﾞｼｯｸM-PRO" panose="020F0600000000000000" pitchFamily="50" charset="-128"/>
          </a:endParaRPr>
        </a:p>
        <a:p>
          <a:endParaRPr kumimoji="1" lang="en-US" altLang="ja-JP" sz="1200">
            <a:latin typeface="HG丸ｺﾞｼｯｸM-PRO" panose="020F0600000000000000" pitchFamily="50" charset="-128"/>
            <a:ea typeface="HG丸ｺﾞｼｯｸM-PRO" panose="020F0600000000000000" pitchFamily="50" charset="-128"/>
          </a:endParaRPr>
        </a:p>
        <a:p>
          <a:pPr>
            <a:lnSpc>
              <a:spcPts val="1300"/>
            </a:lnSpc>
          </a:pPr>
          <a:r>
            <a:rPr kumimoji="1" lang="ja-JP" altLang="en-US" sz="1200">
              <a:latin typeface="HG丸ｺﾞｼｯｸM-PRO" panose="020F0600000000000000" pitchFamily="50" charset="-128"/>
              <a:ea typeface="HG丸ｺﾞｼｯｸM-PRO" panose="020F0600000000000000" pitchFamily="50" charset="-128"/>
            </a:rPr>
            <a:t>⑤その他の所得欄</a:t>
          </a:r>
          <a:endParaRPr kumimoji="1" lang="en-US" altLang="ja-JP" sz="12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HG丸ｺﾞｼｯｸM-PRO" panose="020F0600000000000000" pitchFamily="50" charset="-128"/>
              <a:ea typeface="HG丸ｺﾞｼｯｸM-PRO" panose="020F0600000000000000" pitchFamily="50" charset="-128"/>
            </a:rPr>
            <a:t>　</a:t>
          </a: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右上図「確定申告書の写し」所得金額等欄の合計から</a:t>
          </a:r>
          <a:r>
            <a:rPr kumimoji="1" lang="ja-JP"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給与所得・</a:t>
          </a: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公的年金等の雑所得</a:t>
          </a:r>
          <a:r>
            <a:rPr kumimoji="1" lang="ja-JP"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を除いた</a:t>
          </a: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金</a:t>
          </a:r>
          <a:r>
            <a:rPr kumimoji="1" lang="ja-JP"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額を入力。</a:t>
          </a:r>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確定申告書（第三表）の提出もされた場合は、お手数ですがお問い合わせください。</a:t>
          </a:r>
          <a:endParaRPr kumimoji="1" lang="en-US" altLang="ja-JP"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a:latin typeface="HG丸ｺﾞｼｯｸM-PRO" panose="020F0600000000000000" pitchFamily="50" charset="-128"/>
            <a:ea typeface="HG丸ｺﾞｼｯｸM-PRO" panose="020F0600000000000000" pitchFamily="50" charset="-128"/>
          </a:endParaRPr>
        </a:p>
        <a:p>
          <a:pPr>
            <a:lnSpc>
              <a:spcPts val="1300"/>
            </a:lnSpc>
          </a:pP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国保料算定の対象となる収入</a:t>
          </a:r>
          <a:r>
            <a:rPr kumimoji="1" lang="en-US" altLang="ja-JP" sz="1200">
              <a:latin typeface="HG丸ｺﾞｼｯｸM-PRO" panose="020F0600000000000000" pitchFamily="50" charset="-128"/>
              <a:ea typeface="HG丸ｺﾞｼｯｸM-PRO" panose="020F0600000000000000" pitchFamily="50" charset="-128"/>
            </a:rPr>
            <a:t>】</a:t>
          </a:r>
        </a:p>
        <a:p>
          <a:pPr>
            <a:lnSpc>
              <a:spcPts val="1200"/>
            </a:lnSpc>
          </a:pPr>
          <a:r>
            <a:rPr kumimoji="1" lang="ja-JP" altLang="en-US" sz="1200">
              <a:latin typeface="HG丸ｺﾞｼｯｸM-PRO" panose="020F0600000000000000" pitchFamily="50" charset="-128"/>
              <a:ea typeface="HG丸ｺﾞｼｯｸM-PRO" panose="020F0600000000000000" pitchFamily="50" charset="-128"/>
            </a:rPr>
            <a:t>　令和</a:t>
          </a:r>
          <a:r>
            <a:rPr kumimoji="1" lang="en-US" altLang="ja-JP" sz="1200">
              <a:latin typeface="HG丸ｺﾞｼｯｸM-PRO" panose="020F0600000000000000" pitchFamily="50" charset="-128"/>
              <a:ea typeface="HG丸ｺﾞｼｯｸM-PRO" panose="020F0600000000000000" pitchFamily="50" charset="-128"/>
            </a:rPr>
            <a:t>6</a:t>
          </a:r>
          <a:r>
            <a:rPr kumimoji="1" lang="ja-JP" altLang="en-US" sz="1200">
              <a:latin typeface="HG丸ｺﾞｼｯｸM-PRO" panose="020F0600000000000000" pitchFamily="50" charset="-128"/>
              <a:ea typeface="HG丸ｺﾞｼｯｸM-PRO" panose="020F0600000000000000" pitchFamily="50" charset="-128"/>
            </a:rPr>
            <a:t>年１月から令和</a:t>
          </a:r>
          <a:r>
            <a:rPr kumimoji="1" lang="en-US" altLang="ja-JP" sz="1200">
              <a:latin typeface="HG丸ｺﾞｼｯｸM-PRO" panose="020F0600000000000000" pitchFamily="50" charset="-128"/>
              <a:ea typeface="HG丸ｺﾞｼｯｸM-PRO" panose="020F0600000000000000" pitchFamily="50" charset="-128"/>
            </a:rPr>
            <a:t>6</a:t>
          </a:r>
          <a:r>
            <a:rPr kumimoji="1" lang="ja-JP" altLang="en-US" sz="1200">
              <a:latin typeface="HG丸ｺﾞｼｯｸM-PRO" panose="020F0600000000000000" pitchFamily="50" charset="-128"/>
              <a:ea typeface="HG丸ｺﾞｼｯｸM-PRO" panose="020F0600000000000000" pitchFamily="50" charset="-128"/>
            </a:rPr>
            <a:t>年１２月までの</a:t>
          </a:r>
          <a:r>
            <a:rPr kumimoji="1" lang="en-US" altLang="ja-JP" sz="1200">
              <a:latin typeface="HG丸ｺﾞｼｯｸM-PRO" panose="020F0600000000000000" pitchFamily="50" charset="-128"/>
              <a:ea typeface="HG丸ｺﾞｼｯｸM-PRO" panose="020F0600000000000000" pitchFamily="50" charset="-128"/>
            </a:rPr>
            <a:t>1</a:t>
          </a:r>
          <a:r>
            <a:rPr kumimoji="1" lang="ja-JP" altLang="en-US" sz="1200">
              <a:latin typeface="HG丸ｺﾞｼｯｸM-PRO" panose="020F0600000000000000" pitchFamily="50" charset="-128"/>
              <a:ea typeface="HG丸ｺﾞｼｯｸM-PRO" panose="020F0600000000000000" pitchFamily="50" charset="-128"/>
            </a:rPr>
            <a:t>年間の収入により、令和</a:t>
          </a:r>
          <a:r>
            <a:rPr kumimoji="1" lang="en-US" altLang="ja-JP" sz="1200">
              <a:latin typeface="HG丸ｺﾞｼｯｸM-PRO" panose="020F0600000000000000" pitchFamily="50" charset="-128"/>
              <a:ea typeface="HG丸ｺﾞｼｯｸM-PRO" panose="020F0600000000000000" pitchFamily="50" charset="-128"/>
            </a:rPr>
            <a:t>7</a:t>
          </a:r>
          <a:r>
            <a:rPr kumimoji="1" lang="ja-JP" altLang="en-US" sz="1200">
              <a:latin typeface="HG丸ｺﾞｼｯｸM-PRO" panose="020F0600000000000000" pitchFamily="50" charset="-128"/>
              <a:ea typeface="HG丸ｺﾞｼｯｸM-PRO" panose="020F0600000000000000" pitchFamily="50" charset="-128"/>
            </a:rPr>
            <a:t>年度（令和</a:t>
          </a:r>
          <a:r>
            <a:rPr kumimoji="1" lang="en-US" altLang="ja-JP" sz="1200">
              <a:latin typeface="HG丸ｺﾞｼｯｸM-PRO" panose="020F0600000000000000" pitchFamily="50" charset="-128"/>
              <a:ea typeface="HG丸ｺﾞｼｯｸM-PRO" panose="020F0600000000000000" pitchFamily="50" charset="-128"/>
            </a:rPr>
            <a:t>7</a:t>
          </a:r>
          <a:r>
            <a:rPr kumimoji="1" lang="ja-JP" altLang="en-US" sz="1200">
              <a:latin typeface="HG丸ｺﾞｼｯｸM-PRO" panose="020F0600000000000000" pitchFamily="50" charset="-128"/>
              <a:ea typeface="HG丸ｺﾞｼｯｸM-PRO" panose="020F0600000000000000" pitchFamily="50" charset="-128"/>
            </a:rPr>
            <a:t>年４月から令和</a:t>
          </a:r>
          <a:r>
            <a:rPr kumimoji="1" lang="en-US" altLang="ja-JP" sz="1200">
              <a:latin typeface="HG丸ｺﾞｼｯｸM-PRO" panose="020F0600000000000000" pitchFamily="50" charset="-128"/>
              <a:ea typeface="HG丸ｺﾞｼｯｸM-PRO" panose="020F0600000000000000" pitchFamily="50" charset="-128"/>
            </a:rPr>
            <a:t>8</a:t>
          </a:r>
          <a:r>
            <a:rPr kumimoji="1" lang="ja-JP" altLang="en-US" sz="1200">
              <a:latin typeface="HG丸ｺﾞｼｯｸM-PRO" panose="020F0600000000000000" pitchFamily="50" charset="-128"/>
              <a:ea typeface="HG丸ｺﾞｼｯｸM-PRO" panose="020F0600000000000000" pitchFamily="50" charset="-128"/>
            </a:rPr>
            <a:t>年３月までの１２か月分）の国民健康保険料を算出します。</a:t>
          </a:r>
          <a:endParaRPr kumimoji="1" lang="en-US" altLang="ja-JP" sz="1200">
            <a:latin typeface="HG丸ｺﾞｼｯｸM-PRO" panose="020F0600000000000000" pitchFamily="50" charset="-128"/>
            <a:ea typeface="HG丸ｺﾞｼｯｸM-PRO" panose="020F0600000000000000" pitchFamily="50" charset="-128"/>
          </a:endParaRPr>
        </a:p>
        <a:p>
          <a:pPr>
            <a:lnSpc>
              <a:spcPts val="1200"/>
            </a:lnSpc>
          </a:pPr>
          <a:endParaRPr kumimoji="1" lang="en-US" altLang="ja-JP" sz="12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200">
              <a:latin typeface="HG丸ｺﾞｼｯｸM-PRO" panose="020F0600000000000000" pitchFamily="50" charset="-128"/>
              <a:ea typeface="HG丸ｺﾞｼｯｸM-PRO" panose="020F0600000000000000" pitchFamily="50" charset="-128"/>
            </a:rPr>
            <a:t>　　　　　　　　　　　　　　　問い合わせ先　</a:t>
          </a:r>
          <a:r>
            <a:rPr kumimoji="0" lang="ja-JP" altLang="en-US" sz="12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mn-cs"/>
            </a:rPr>
            <a:t>城陽市役所福祉保健部国保医療課国保年金係</a:t>
          </a:r>
          <a:endParaRPr kumimoji="0" lang="en-US" altLang="ja-JP" sz="12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mn-cs"/>
            </a:rPr>
            <a:t>　　　　　　　　　　　　　　　電話</a:t>
          </a:r>
          <a:r>
            <a:rPr kumimoji="0" lang="en-US" altLang="ja-JP" sz="12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mn-cs"/>
            </a:rPr>
            <a:t>: 0774-56-4038</a:t>
          </a:r>
          <a:r>
            <a:rPr kumimoji="0" lang="ja-JP" altLang="en-US" sz="12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mn-cs"/>
            </a:rPr>
            <a:t>　ファックス</a:t>
          </a:r>
          <a:r>
            <a:rPr kumimoji="0" lang="en-US" altLang="ja-JP" sz="12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mn-cs"/>
            </a:rPr>
            <a:t>: 0774-56-3999</a:t>
          </a:r>
        </a:p>
        <a:p>
          <a:pPr>
            <a:lnSpc>
              <a:spcPts val="1200"/>
            </a:lnSpc>
          </a:pPr>
          <a:endParaRPr kumimoji="1" lang="ja-JP" altLang="en-US" sz="12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578304</xdr:colOff>
      <xdr:row>59</xdr:row>
      <xdr:rowOff>142874</xdr:rowOff>
    </xdr:from>
    <xdr:to>
      <xdr:col>3</xdr:col>
      <xdr:colOff>34018</xdr:colOff>
      <xdr:row>60</xdr:row>
      <xdr:rowOff>170089</xdr:rowOff>
    </xdr:to>
    <xdr:sp macro="" textlink="">
      <xdr:nvSpPr>
        <xdr:cNvPr id="5" name="正方形/長方形 4"/>
        <xdr:cNvSpPr/>
      </xdr:nvSpPr>
      <xdr:spPr>
        <a:xfrm>
          <a:off x="1435554" y="11593285"/>
          <a:ext cx="68035" cy="21091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673555</xdr:colOff>
      <xdr:row>61</xdr:row>
      <xdr:rowOff>0</xdr:rowOff>
    </xdr:from>
    <xdr:to>
      <xdr:col>11</xdr:col>
      <xdr:colOff>891269</xdr:colOff>
      <xdr:row>62</xdr:row>
      <xdr:rowOff>6804</xdr:rowOff>
    </xdr:to>
    <xdr:sp macro="" textlink="">
      <xdr:nvSpPr>
        <xdr:cNvPr id="6" name="正方形/長方形 5"/>
        <xdr:cNvSpPr/>
      </xdr:nvSpPr>
      <xdr:spPr>
        <a:xfrm>
          <a:off x="7320644" y="11817804"/>
          <a:ext cx="217714" cy="190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254000</xdr:colOff>
      <xdr:row>13</xdr:row>
      <xdr:rowOff>0</xdr:rowOff>
    </xdr:from>
    <xdr:to>
      <xdr:col>8</xdr:col>
      <xdr:colOff>203200</xdr:colOff>
      <xdr:row>15</xdr:row>
      <xdr:rowOff>63500</xdr:rowOff>
    </xdr:to>
    <xdr:cxnSp macro="">
      <xdr:nvCxnSpPr>
        <xdr:cNvPr id="3" name="直線矢印コネクタ 2"/>
        <xdr:cNvCxnSpPr/>
      </xdr:nvCxnSpPr>
      <xdr:spPr>
        <a:xfrm flipV="1">
          <a:off x="4089400" y="3771900"/>
          <a:ext cx="292100" cy="495300"/>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7</xdr:col>
      <xdr:colOff>254000</xdr:colOff>
      <xdr:row>18</xdr:row>
      <xdr:rowOff>0</xdr:rowOff>
    </xdr:from>
    <xdr:to>
      <xdr:col>8</xdr:col>
      <xdr:colOff>203200</xdr:colOff>
      <xdr:row>20</xdr:row>
      <xdr:rowOff>63500</xdr:rowOff>
    </xdr:to>
    <xdr:cxnSp macro="">
      <xdr:nvCxnSpPr>
        <xdr:cNvPr id="4" name="直線矢印コネクタ 3"/>
        <xdr:cNvCxnSpPr/>
      </xdr:nvCxnSpPr>
      <xdr:spPr>
        <a:xfrm flipV="1">
          <a:off x="4089400" y="3771900"/>
          <a:ext cx="292100" cy="495300"/>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7</xdr:col>
      <xdr:colOff>254000</xdr:colOff>
      <xdr:row>23</xdr:row>
      <xdr:rowOff>0</xdr:rowOff>
    </xdr:from>
    <xdr:to>
      <xdr:col>8</xdr:col>
      <xdr:colOff>203200</xdr:colOff>
      <xdr:row>25</xdr:row>
      <xdr:rowOff>63500</xdr:rowOff>
    </xdr:to>
    <xdr:cxnSp macro="">
      <xdr:nvCxnSpPr>
        <xdr:cNvPr id="5" name="直線矢印コネクタ 4"/>
        <xdr:cNvCxnSpPr/>
      </xdr:nvCxnSpPr>
      <xdr:spPr>
        <a:xfrm flipV="1">
          <a:off x="4089400" y="3771900"/>
          <a:ext cx="292100" cy="495300"/>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7</xdr:col>
      <xdr:colOff>254000</xdr:colOff>
      <xdr:row>28</xdr:row>
      <xdr:rowOff>0</xdr:rowOff>
    </xdr:from>
    <xdr:to>
      <xdr:col>8</xdr:col>
      <xdr:colOff>203200</xdr:colOff>
      <xdr:row>30</xdr:row>
      <xdr:rowOff>63500</xdr:rowOff>
    </xdr:to>
    <xdr:cxnSp macro="">
      <xdr:nvCxnSpPr>
        <xdr:cNvPr id="6" name="直線矢印コネクタ 5"/>
        <xdr:cNvCxnSpPr/>
      </xdr:nvCxnSpPr>
      <xdr:spPr>
        <a:xfrm flipV="1">
          <a:off x="4089400" y="3771900"/>
          <a:ext cx="292100" cy="495300"/>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7</xdr:col>
      <xdr:colOff>254000</xdr:colOff>
      <xdr:row>33</xdr:row>
      <xdr:rowOff>0</xdr:rowOff>
    </xdr:from>
    <xdr:to>
      <xdr:col>8</xdr:col>
      <xdr:colOff>203200</xdr:colOff>
      <xdr:row>35</xdr:row>
      <xdr:rowOff>63500</xdr:rowOff>
    </xdr:to>
    <xdr:cxnSp macro="">
      <xdr:nvCxnSpPr>
        <xdr:cNvPr id="8" name="直線矢印コネクタ 7"/>
        <xdr:cNvCxnSpPr/>
      </xdr:nvCxnSpPr>
      <xdr:spPr>
        <a:xfrm flipV="1">
          <a:off x="4089400" y="3771900"/>
          <a:ext cx="292100" cy="495300"/>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7</xdr:col>
      <xdr:colOff>254000</xdr:colOff>
      <xdr:row>38</xdr:row>
      <xdr:rowOff>0</xdr:rowOff>
    </xdr:from>
    <xdr:to>
      <xdr:col>8</xdr:col>
      <xdr:colOff>203200</xdr:colOff>
      <xdr:row>40</xdr:row>
      <xdr:rowOff>63500</xdr:rowOff>
    </xdr:to>
    <xdr:cxnSp macro="">
      <xdr:nvCxnSpPr>
        <xdr:cNvPr id="10" name="直線矢印コネクタ 9"/>
        <xdr:cNvCxnSpPr/>
      </xdr:nvCxnSpPr>
      <xdr:spPr>
        <a:xfrm flipV="1">
          <a:off x="4089400" y="3771900"/>
          <a:ext cx="292100" cy="495300"/>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7</xdr:col>
      <xdr:colOff>254000</xdr:colOff>
      <xdr:row>43</xdr:row>
      <xdr:rowOff>0</xdr:rowOff>
    </xdr:from>
    <xdr:to>
      <xdr:col>8</xdr:col>
      <xdr:colOff>203200</xdr:colOff>
      <xdr:row>45</xdr:row>
      <xdr:rowOff>63500</xdr:rowOff>
    </xdr:to>
    <xdr:cxnSp macro="">
      <xdr:nvCxnSpPr>
        <xdr:cNvPr id="11" name="直線矢印コネクタ 10"/>
        <xdr:cNvCxnSpPr/>
      </xdr:nvCxnSpPr>
      <xdr:spPr>
        <a:xfrm flipV="1">
          <a:off x="4089400" y="3771900"/>
          <a:ext cx="292100" cy="495300"/>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29</xdr:col>
      <xdr:colOff>142875</xdr:colOff>
      <xdr:row>75</xdr:row>
      <xdr:rowOff>85725</xdr:rowOff>
    </xdr:from>
    <xdr:to>
      <xdr:col>56</xdr:col>
      <xdr:colOff>590550</xdr:colOff>
      <xdr:row>110</xdr:row>
      <xdr:rowOff>190500</xdr:rowOff>
    </xdr:to>
    <xdr:sp macro="" textlink="">
      <xdr:nvSpPr>
        <xdr:cNvPr id="28364" name="AutoShape 197"/>
        <xdr:cNvSpPr>
          <a:spLocks noChangeAspect="1" noChangeArrowheads="1"/>
        </xdr:cNvSpPr>
      </xdr:nvSpPr>
      <xdr:spPr bwMode="auto">
        <a:xfrm>
          <a:off x="5667375" y="14506575"/>
          <a:ext cx="7077075" cy="6115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38099</xdr:colOff>
      <xdr:row>108</xdr:row>
      <xdr:rowOff>28575</xdr:rowOff>
    </xdr:from>
    <xdr:to>
      <xdr:col>38</xdr:col>
      <xdr:colOff>123824</xdr:colOff>
      <xdr:row>114</xdr:row>
      <xdr:rowOff>66675</xdr:rowOff>
    </xdr:to>
    <xdr:sp macro="" textlink="">
      <xdr:nvSpPr>
        <xdr:cNvPr id="8" name="角丸四角形 7"/>
        <xdr:cNvSpPr/>
      </xdr:nvSpPr>
      <xdr:spPr>
        <a:xfrm>
          <a:off x="609599" y="20107275"/>
          <a:ext cx="6753225" cy="1304925"/>
        </a:xfrm>
        <a:prstGeom prst="roundRect">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editAs="oneCell">
    <xdr:from>
      <xdr:col>4</xdr:col>
      <xdr:colOff>0</xdr:colOff>
      <xdr:row>110</xdr:row>
      <xdr:rowOff>76200</xdr:rowOff>
    </xdr:from>
    <xdr:to>
      <xdr:col>8</xdr:col>
      <xdr:colOff>152400</xdr:colOff>
      <xdr:row>113</xdr:row>
      <xdr:rowOff>171450</xdr:rowOff>
    </xdr:to>
    <xdr:pic>
      <xdr:nvPicPr>
        <xdr:cNvPr id="28366" name="図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0507325"/>
          <a:ext cx="914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0</xdr:colOff>
      <xdr:row>0</xdr:row>
      <xdr:rowOff>28575</xdr:rowOff>
    </xdr:from>
    <xdr:to>
      <xdr:col>32</xdr:col>
      <xdr:colOff>9525</xdr:colOff>
      <xdr:row>2</xdr:row>
      <xdr:rowOff>0</xdr:rowOff>
    </xdr:to>
    <xdr:pic>
      <xdr:nvPicPr>
        <xdr:cNvPr id="28367" name="図 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0" y="28575"/>
          <a:ext cx="13430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38100</xdr:colOff>
          <xdr:row>58</xdr:row>
          <xdr:rowOff>19050</xdr:rowOff>
        </xdr:from>
        <xdr:to>
          <xdr:col>38</xdr:col>
          <xdr:colOff>66675</xdr:colOff>
          <xdr:row>71</xdr:row>
          <xdr:rowOff>38100</xdr:rowOff>
        </xdr:to>
        <xdr:sp macro="" textlink="">
          <xdr:nvSpPr>
            <xdr:cNvPr id="28023" name="Object 375" hidden="1">
              <a:extLst>
                <a:ext uri="{63B3BB69-23CF-44E3-9099-C40C66FF867C}">
                  <a14:compatExt spid="_x0000_s28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73</xdr:row>
          <xdr:rowOff>66675</xdr:rowOff>
        </xdr:from>
        <xdr:to>
          <xdr:col>38</xdr:col>
          <xdr:colOff>0</xdr:colOff>
          <xdr:row>110</xdr:row>
          <xdr:rowOff>66675</xdr:rowOff>
        </xdr:to>
        <xdr:sp macro="" textlink="">
          <xdr:nvSpPr>
            <xdr:cNvPr id="28031" name="Object 383" hidden="1">
              <a:extLst>
                <a:ext uri="{63B3BB69-23CF-44E3-9099-C40C66FF867C}">
                  <a14:compatExt spid="_x0000_s28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17</xdr:col>
      <xdr:colOff>314325</xdr:colOff>
      <xdr:row>7</xdr:row>
      <xdr:rowOff>28575</xdr:rowOff>
    </xdr:from>
    <xdr:to>
      <xdr:col>17</xdr:col>
      <xdr:colOff>542925</xdr:colOff>
      <xdr:row>11</xdr:row>
      <xdr:rowOff>171450</xdr:rowOff>
    </xdr:to>
    <xdr:sp macro="" textlink="">
      <xdr:nvSpPr>
        <xdr:cNvPr id="36308" name="AutoShape 1112"/>
        <xdr:cNvSpPr>
          <a:spLocks/>
        </xdr:cNvSpPr>
      </xdr:nvSpPr>
      <xdr:spPr bwMode="auto">
        <a:xfrm>
          <a:off x="8191500" y="2305050"/>
          <a:ext cx="228600" cy="1409700"/>
        </a:xfrm>
        <a:prstGeom prst="rightBrace">
          <a:avLst>
            <a:gd name="adj1" fmla="val 513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314325</xdr:colOff>
      <xdr:row>185</xdr:row>
      <xdr:rowOff>28575</xdr:rowOff>
    </xdr:from>
    <xdr:to>
      <xdr:col>17</xdr:col>
      <xdr:colOff>542925</xdr:colOff>
      <xdr:row>189</xdr:row>
      <xdr:rowOff>171450</xdr:rowOff>
    </xdr:to>
    <xdr:sp macro="" textlink="">
      <xdr:nvSpPr>
        <xdr:cNvPr id="36309" name="AutoShape 1285"/>
        <xdr:cNvSpPr>
          <a:spLocks/>
        </xdr:cNvSpPr>
      </xdr:nvSpPr>
      <xdr:spPr bwMode="auto">
        <a:xfrm>
          <a:off x="8191500" y="44024550"/>
          <a:ext cx="228600" cy="1266825"/>
        </a:xfrm>
        <a:prstGeom prst="rightBrace">
          <a:avLst>
            <a:gd name="adj1" fmla="val 4618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314325</xdr:colOff>
      <xdr:row>185</xdr:row>
      <xdr:rowOff>28575</xdr:rowOff>
    </xdr:from>
    <xdr:to>
      <xdr:col>17</xdr:col>
      <xdr:colOff>542925</xdr:colOff>
      <xdr:row>189</xdr:row>
      <xdr:rowOff>171450</xdr:rowOff>
    </xdr:to>
    <xdr:sp macro="" textlink="">
      <xdr:nvSpPr>
        <xdr:cNvPr id="36310" name="AutoShape 1286"/>
        <xdr:cNvSpPr>
          <a:spLocks/>
        </xdr:cNvSpPr>
      </xdr:nvSpPr>
      <xdr:spPr bwMode="auto">
        <a:xfrm>
          <a:off x="8191500" y="44024550"/>
          <a:ext cx="228600" cy="1266825"/>
        </a:xfrm>
        <a:prstGeom prst="rightBrace">
          <a:avLst>
            <a:gd name="adj1" fmla="val 4618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314325</xdr:colOff>
      <xdr:row>96</xdr:row>
      <xdr:rowOff>28575</xdr:rowOff>
    </xdr:from>
    <xdr:to>
      <xdr:col>17</xdr:col>
      <xdr:colOff>542925</xdr:colOff>
      <xdr:row>100</xdr:row>
      <xdr:rowOff>171450</xdr:rowOff>
    </xdr:to>
    <xdr:sp macro="" textlink="">
      <xdr:nvSpPr>
        <xdr:cNvPr id="36311" name="AutoShape 3904"/>
        <xdr:cNvSpPr>
          <a:spLocks/>
        </xdr:cNvSpPr>
      </xdr:nvSpPr>
      <xdr:spPr bwMode="auto">
        <a:xfrm>
          <a:off x="8191500" y="23307675"/>
          <a:ext cx="228600" cy="1409700"/>
        </a:xfrm>
        <a:prstGeom prst="rightBrace">
          <a:avLst>
            <a:gd name="adj1" fmla="val 513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314325</xdr:colOff>
      <xdr:row>96</xdr:row>
      <xdr:rowOff>28575</xdr:rowOff>
    </xdr:from>
    <xdr:to>
      <xdr:col>17</xdr:col>
      <xdr:colOff>542925</xdr:colOff>
      <xdr:row>100</xdr:row>
      <xdr:rowOff>171450</xdr:rowOff>
    </xdr:to>
    <xdr:sp macro="" textlink="">
      <xdr:nvSpPr>
        <xdr:cNvPr id="36312" name="AutoShape 3905"/>
        <xdr:cNvSpPr>
          <a:spLocks/>
        </xdr:cNvSpPr>
      </xdr:nvSpPr>
      <xdr:spPr bwMode="auto">
        <a:xfrm>
          <a:off x="8191500" y="23307675"/>
          <a:ext cx="228600" cy="1409700"/>
        </a:xfrm>
        <a:prstGeom prst="rightBrace">
          <a:avLst>
            <a:gd name="adj1" fmla="val 513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314325</xdr:colOff>
      <xdr:row>96</xdr:row>
      <xdr:rowOff>28575</xdr:rowOff>
    </xdr:from>
    <xdr:to>
      <xdr:col>17</xdr:col>
      <xdr:colOff>542925</xdr:colOff>
      <xdr:row>100</xdr:row>
      <xdr:rowOff>171450</xdr:rowOff>
    </xdr:to>
    <xdr:sp macro="" textlink="">
      <xdr:nvSpPr>
        <xdr:cNvPr id="36313" name="AutoShape 3918"/>
        <xdr:cNvSpPr>
          <a:spLocks/>
        </xdr:cNvSpPr>
      </xdr:nvSpPr>
      <xdr:spPr bwMode="auto">
        <a:xfrm>
          <a:off x="8191500" y="23307675"/>
          <a:ext cx="228600" cy="1409700"/>
        </a:xfrm>
        <a:prstGeom prst="rightBrace">
          <a:avLst>
            <a:gd name="adj1" fmla="val 513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55</xdr:col>
      <xdr:colOff>38100</xdr:colOff>
      <xdr:row>12</xdr:row>
      <xdr:rowOff>114300</xdr:rowOff>
    </xdr:from>
    <xdr:to>
      <xdr:col>68</xdr:col>
      <xdr:colOff>742950</xdr:colOff>
      <xdr:row>82</xdr:row>
      <xdr:rowOff>209550</xdr:rowOff>
    </xdr:to>
    <xdr:sp macro="" textlink="">
      <xdr:nvSpPr>
        <xdr:cNvPr id="36314" name="Line 11806"/>
        <xdr:cNvSpPr>
          <a:spLocks noChangeShapeType="1"/>
        </xdr:cNvSpPr>
      </xdr:nvSpPr>
      <xdr:spPr bwMode="auto">
        <a:xfrm>
          <a:off x="33708975" y="3867150"/>
          <a:ext cx="7839075" cy="1610677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247650</xdr:colOff>
      <xdr:row>12</xdr:row>
      <xdr:rowOff>190500</xdr:rowOff>
    </xdr:from>
    <xdr:to>
      <xdr:col>68</xdr:col>
      <xdr:colOff>704850</xdr:colOff>
      <xdr:row>82</xdr:row>
      <xdr:rowOff>95250</xdr:rowOff>
    </xdr:to>
    <xdr:sp macro="" textlink="">
      <xdr:nvSpPr>
        <xdr:cNvPr id="36315" name="Line 11807"/>
        <xdr:cNvSpPr>
          <a:spLocks noChangeShapeType="1"/>
        </xdr:cNvSpPr>
      </xdr:nvSpPr>
      <xdr:spPr bwMode="auto">
        <a:xfrm flipH="1">
          <a:off x="33918525" y="3943350"/>
          <a:ext cx="7591425" cy="1591627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247650</xdr:colOff>
      <xdr:row>12</xdr:row>
      <xdr:rowOff>190500</xdr:rowOff>
    </xdr:from>
    <xdr:to>
      <xdr:col>68</xdr:col>
      <xdr:colOff>704850</xdr:colOff>
      <xdr:row>82</xdr:row>
      <xdr:rowOff>95250</xdr:rowOff>
    </xdr:to>
    <xdr:sp macro="" textlink="">
      <xdr:nvSpPr>
        <xdr:cNvPr id="36316" name="Line 11809"/>
        <xdr:cNvSpPr>
          <a:spLocks noChangeShapeType="1"/>
        </xdr:cNvSpPr>
      </xdr:nvSpPr>
      <xdr:spPr bwMode="auto">
        <a:xfrm flipH="1">
          <a:off x="33918525" y="3943350"/>
          <a:ext cx="7591425" cy="1591627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38100</xdr:colOff>
      <xdr:row>101</xdr:row>
      <xdr:rowOff>114300</xdr:rowOff>
    </xdr:from>
    <xdr:to>
      <xdr:col>70</xdr:col>
      <xdr:colOff>47625</xdr:colOff>
      <xdr:row>171</xdr:row>
      <xdr:rowOff>209550</xdr:rowOff>
    </xdr:to>
    <xdr:sp macro="" textlink="">
      <xdr:nvSpPr>
        <xdr:cNvPr id="36317" name="Line 11810"/>
        <xdr:cNvSpPr>
          <a:spLocks noChangeShapeType="1"/>
        </xdr:cNvSpPr>
      </xdr:nvSpPr>
      <xdr:spPr bwMode="auto">
        <a:xfrm>
          <a:off x="34109025" y="24869775"/>
          <a:ext cx="7839075" cy="1610677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247650</xdr:colOff>
      <xdr:row>101</xdr:row>
      <xdr:rowOff>190500</xdr:rowOff>
    </xdr:from>
    <xdr:to>
      <xdr:col>70</xdr:col>
      <xdr:colOff>9525</xdr:colOff>
      <xdr:row>171</xdr:row>
      <xdr:rowOff>95250</xdr:rowOff>
    </xdr:to>
    <xdr:sp macro="" textlink="">
      <xdr:nvSpPr>
        <xdr:cNvPr id="36318" name="Line 11811"/>
        <xdr:cNvSpPr>
          <a:spLocks noChangeShapeType="1"/>
        </xdr:cNvSpPr>
      </xdr:nvSpPr>
      <xdr:spPr bwMode="auto">
        <a:xfrm flipH="1">
          <a:off x="34318575" y="24945975"/>
          <a:ext cx="7591425" cy="1591627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38100</xdr:colOff>
      <xdr:row>190</xdr:row>
      <xdr:rowOff>114300</xdr:rowOff>
    </xdr:from>
    <xdr:to>
      <xdr:col>68</xdr:col>
      <xdr:colOff>742950</xdr:colOff>
      <xdr:row>258</xdr:row>
      <xdr:rowOff>28575</xdr:rowOff>
    </xdr:to>
    <xdr:sp macro="" textlink="">
      <xdr:nvSpPr>
        <xdr:cNvPr id="36319" name="Line 11812"/>
        <xdr:cNvSpPr>
          <a:spLocks noChangeShapeType="1"/>
        </xdr:cNvSpPr>
      </xdr:nvSpPr>
      <xdr:spPr bwMode="auto">
        <a:xfrm>
          <a:off x="33708975" y="45472350"/>
          <a:ext cx="7839075" cy="1610677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247650</xdr:colOff>
      <xdr:row>190</xdr:row>
      <xdr:rowOff>190500</xdr:rowOff>
    </xdr:from>
    <xdr:to>
      <xdr:col>68</xdr:col>
      <xdr:colOff>704850</xdr:colOff>
      <xdr:row>257</xdr:row>
      <xdr:rowOff>152400</xdr:rowOff>
    </xdr:to>
    <xdr:sp macro="" textlink="">
      <xdr:nvSpPr>
        <xdr:cNvPr id="36320" name="Line 11813"/>
        <xdr:cNvSpPr>
          <a:spLocks noChangeShapeType="1"/>
        </xdr:cNvSpPr>
      </xdr:nvSpPr>
      <xdr:spPr bwMode="auto">
        <a:xfrm flipH="1">
          <a:off x="33918525" y="45548550"/>
          <a:ext cx="7591425" cy="1591627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7.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package" Target="../embeddings/Microsoft_Word___1.docx"/><Relationship Id="rId5" Type="http://schemas.openxmlformats.org/officeDocument/2006/relationships/image" Target="../media/image6.emf"/><Relationship Id="rId4" Type="http://schemas.openxmlformats.org/officeDocument/2006/relationships/package" Target="../embeddings/Microsoft_Word___.docx"/></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C136"/>
  <sheetViews>
    <sheetView showGridLines="0" tabSelected="1" zoomScale="130" zoomScaleNormal="130" zoomScaleSheetLayoutView="140" workbookViewId="0">
      <selection activeCell="F24" sqref="F24:G24"/>
    </sheetView>
  </sheetViews>
  <sheetFormatPr defaultColWidth="4.375" defaultRowHeight="13.5" zeroHeight="1"/>
  <cols>
    <col min="1" max="1" width="3.5" style="593" customWidth="1"/>
    <col min="2" max="2" width="7.75" style="593" customWidth="1"/>
    <col min="3" max="3" width="8" style="593" customWidth="1"/>
    <col min="4" max="4" width="7.25" style="593" customWidth="1"/>
    <col min="5" max="5" width="8.25" style="593" customWidth="1"/>
    <col min="6" max="6" width="11.375" style="593" customWidth="1"/>
    <col min="7" max="7" width="4.125" style="593" customWidth="1"/>
    <col min="8" max="8" width="6.625" style="593" customWidth="1"/>
    <col min="9" max="9" width="8.75" style="593" customWidth="1"/>
    <col min="10" max="10" width="15.375" style="593" customWidth="1"/>
    <col min="11" max="11" width="6.375" style="593" customWidth="1"/>
    <col min="12" max="12" width="13.875" style="593" customWidth="1"/>
    <col min="13" max="13" width="4.625" style="593" customWidth="1"/>
    <col min="14" max="29" width="16.25" style="593" hidden="1" customWidth="1"/>
    <col min="30" max="16384" width="4.375" style="593"/>
  </cols>
  <sheetData>
    <row r="1" spans="1:13" ht="35.25" customHeight="1">
      <c r="A1" s="784" t="s">
        <v>481</v>
      </c>
      <c r="B1" s="784"/>
      <c r="C1" s="784"/>
      <c r="D1" s="784"/>
      <c r="E1" s="784"/>
      <c r="F1" s="784"/>
      <c r="G1" s="784"/>
      <c r="H1" s="784"/>
      <c r="I1" s="784"/>
      <c r="J1" s="784"/>
      <c r="K1" s="784"/>
      <c r="L1" s="784"/>
      <c r="M1" s="784"/>
    </row>
    <row r="2" spans="1:13">
      <c r="B2" s="593" t="s">
        <v>483</v>
      </c>
    </row>
    <row r="3" spans="1:13">
      <c r="B3" s="593" t="s">
        <v>464</v>
      </c>
    </row>
    <row r="4" spans="1:13"/>
    <row r="5" spans="1:13" ht="16.5" customHeight="1">
      <c r="B5" s="594" t="s">
        <v>440</v>
      </c>
    </row>
    <row r="6" spans="1:13" ht="14.25" customHeight="1">
      <c r="B6" s="593" t="s">
        <v>462</v>
      </c>
    </row>
    <row r="7" spans="1:13" s="595" customFormat="1" ht="14.25" customHeight="1">
      <c r="B7" s="593" t="s">
        <v>460</v>
      </c>
    </row>
    <row r="8" spans="1:13" s="595" customFormat="1" ht="14.25" customHeight="1">
      <c r="B8" s="593" t="s">
        <v>463</v>
      </c>
    </row>
    <row r="9" spans="1:13" s="595" customFormat="1" ht="14.25" customHeight="1">
      <c r="B9" s="593" t="s">
        <v>465</v>
      </c>
    </row>
    <row r="10" spans="1:13" s="595" customFormat="1" ht="14.25" customHeight="1">
      <c r="B10" s="593" t="s">
        <v>482</v>
      </c>
    </row>
    <row r="11" spans="1:13" s="595" customFormat="1" ht="14.25" customHeight="1">
      <c r="B11" s="593" t="s">
        <v>461</v>
      </c>
    </row>
    <row r="12" spans="1:13" s="595" customFormat="1" ht="16.5" customHeight="1">
      <c r="B12" s="593" t="s">
        <v>475</v>
      </c>
      <c r="H12" s="589"/>
    </row>
    <row r="13" spans="1:13"/>
    <row r="14" spans="1:13" s="596" customFormat="1" ht="20.25" customHeight="1" thickBot="1">
      <c r="B14" s="596" t="s">
        <v>466</v>
      </c>
      <c r="J14" s="597"/>
    </row>
    <row r="15" spans="1:13" s="596" customFormat="1" ht="20.25" customHeight="1" thickTop="1" thickBot="1">
      <c r="C15" s="598" t="s">
        <v>365</v>
      </c>
      <c r="D15" s="720"/>
    </row>
    <row r="16" spans="1:13" s="596" customFormat="1" ht="20.25" customHeight="1" thickBot="1">
      <c r="C16" s="599" t="s">
        <v>366</v>
      </c>
      <c r="D16" s="721"/>
    </row>
    <row r="17" spans="2:27" s="596" customFormat="1" ht="14.25" customHeight="1">
      <c r="C17" s="600"/>
      <c r="D17" s="601"/>
    </row>
    <row r="18" spans="2:27" ht="14.25">
      <c r="B18" s="596"/>
      <c r="C18" s="600"/>
      <c r="D18" s="601"/>
      <c r="E18" s="596"/>
      <c r="F18" s="596"/>
      <c r="G18" s="596"/>
      <c r="H18" s="596"/>
      <c r="I18" s="596"/>
      <c r="J18" s="596"/>
      <c r="P18" s="593" t="s">
        <v>401</v>
      </c>
      <c r="X18" s="602" t="s">
        <v>367</v>
      </c>
      <c r="Y18" s="602"/>
      <c r="Z18" s="602"/>
      <c r="AA18" s="602"/>
    </row>
    <row r="19" spans="2:27" s="605" customFormat="1">
      <c r="B19" s="593"/>
      <c r="C19" s="603" t="s">
        <v>52</v>
      </c>
      <c r="D19" s="746" t="s">
        <v>53</v>
      </c>
      <c r="E19" s="746"/>
      <c r="F19" s="746" t="s">
        <v>54</v>
      </c>
      <c r="G19" s="746"/>
      <c r="H19" s="746" t="s">
        <v>55</v>
      </c>
      <c r="I19" s="746"/>
      <c r="J19" s="604" t="s">
        <v>439</v>
      </c>
      <c r="P19" s="606" t="s">
        <v>394</v>
      </c>
      <c r="Q19" s="607" t="s">
        <v>395</v>
      </c>
      <c r="R19" s="607" t="s">
        <v>396</v>
      </c>
      <c r="S19" s="607" t="s">
        <v>397</v>
      </c>
      <c r="T19" s="607" t="s">
        <v>398</v>
      </c>
      <c r="U19" s="607" t="s">
        <v>399</v>
      </c>
      <c r="V19" s="608" t="s">
        <v>400</v>
      </c>
      <c r="X19" s="609"/>
      <c r="Y19" s="610" t="s">
        <v>372</v>
      </c>
      <c r="Z19" s="610" t="s">
        <v>373</v>
      </c>
      <c r="AA19" s="611" t="s">
        <v>374</v>
      </c>
    </row>
    <row r="20" spans="2:27" ht="27" customHeight="1" thickBot="1">
      <c r="B20" s="612"/>
      <c r="C20" s="710" t="s">
        <v>438</v>
      </c>
      <c r="D20" s="756" t="s">
        <v>478</v>
      </c>
      <c r="E20" s="756"/>
      <c r="F20" s="792" t="s">
        <v>479</v>
      </c>
      <c r="G20" s="793"/>
      <c r="H20" s="781" t="s">
        <v>480</v>
      </c>
      <c r="I20" s="782"/>
      <c r="J20" s="613" t="s">
        <v>281</v>
      </c>
      <c r="P20" s="614">
        <f>IF(D21&lt;=550999,0,"")</f>
        <v>0</v>
      </c>
      <c r="Q20" s="615">
        <f>IF(D22&lt;=550999,0,"")</f>
        <v>0</v>
      </c>
      <c r="R20" s="615">
        <f>IF(D23&lt;=550999,0,"")</f>
        <v>0</v>
      </c>
      <c r="S20" s="615">
        <f>IF(D24&lt;=550999,0,"")</f>
        <v>0</v>
      </c>
      <c r="T20" s="615">
        <f>IF(D25&lt;=550999,0,"")</f>
        <v>0</v>
      </c>
      <c r="U20" s="615">
        <f>IF(D26&lt;=550999,0,"")</f>
        <v>0</v>
      </c>
      <c r="V20" s="616">
        <f>IF(D27&lt;=550999,0,"")</f>
        <v>0</v>
      </c>
      <c r="X20" s="617" t="s">
        <v>368</v>
      </c>
      <c r="Y20" s="618" t="s">
        <v>375</v>
      </c>
      <c r="Z20" s="750" t="s">
        <v>386</v>
      </c>
      <c r="AA20" s="751"/>
    </row>
    <row r="21" spans="2:27" ht="14.25" thickTop="1">
      <c r="B21" s="619" t="s">
        <v>393</v>
      </c>
      <c r="C21" s="590"/>
      <c r="D21" s="757"/>
      <c r="E21" s="758"/>
      <c r="F21" s="757"/>
      <c r="G21" s="758"/>
      <c r="H21" s="757"/>
      <c r="I21" s="783"/>
      <c r="J21" s="620">
        <f>IF(C21=0,0,P57)</f>
        <v>0</v>
      </c>
      <c r="P21" s="614" t="str">
        <f>IF(AND(551000&lt;=D21,D21&lt;=1618999),D21-550000,"")</f>
        <v/>
      </c>
      <c r="Q21" s="615" t="str">
        <f>IF(AND(551000&lt;=D22,D22&lt;=1618999),D22-550000,"")</f>
        <v/>
      </c>
      <c r="R21" s="615" t="str">
        <f>IF(AND(551000&lt;=D23,D23&lt;=1618999),D23-550000,"")</f>
        <v/>
      </c>
      <c r="S21" s="615" t="str">
        <f>IF(AND(551000&lt;=D24,D24&lt;=1618999),D24-550000,"")</f>
        <v/>
      </c>
      <c r="T21" s="615" t="str">
        <f>IF(AND(551000&lt;=D25,D25&lt;=1618999),D25-550000,"")</f>
        <v/>
      </c>
      <c r="U21" s="615" t="str">
        <f>IF(AND(551000&lt;=D26,D26&lt;=1618999),D26-550000,"")</f>
        <v/>
      </c>
      <c r="V21" s="616" t="str">
        <f>IF(AND(551000&lt;=D27,D27&lt;=1618999),D27-550000,"")</f>
        <v/>
      </c>
      <c r="X21" s="621" t="s">
        <v>369</v>
      </c>
      <c r="Y21" s="622" t="s">
        <v>376</v>
      </c>
      <c r="Z21" s="623">
        <v>1</v>
      </c>
      <c r="AA21" s="624">
        <v>550000</v>
      </c>
    </row>
    <row r="22" spans="2:27">
      <c r="B22" s="625" t="s">
        <v>359</v>
      </c>
      <c r="C22" s="591"/>
      <c r="D22" s="730"/>
      <c r="E22" s="731"/>
      <c r="F22" s="730"/>
      <c r="G22" s="731"/>
      <c r="H22" s="730"/>
      <c r="I22" s="736"/>
      <c r="J22" s="620">
        <f>IF(C22=0,0,Q57)</f>
        <v>0</v>
      </c>
      <c r="P22" s="614" t="str">
        <f>IF(AND(1619999&gt;=D21,D21&gt;=1619000),1069000,"")</f>
        <v/>
      </c>
      <c r="Q22" s="615" t="str">
        <f>IF(AND(1619999&gt;=D22,D22&gt;=1619000),1069000,"")</f>
        <v/>
      </c>
      <c r="R22" s="615" t="str">
        <f>IF(AND(1619999&gt;=D23,D23&gt;=1619000),1069000,"")</f>
        <v/>
      </c>
      <c r="S22" s="615" t="str">
        <f>IF(AND(1619999&gt;=D24,D24&gt;=1619000),1069000,"")</f>
        <v/>
      </c>
      <c r="T22" s="615" t="str">
        <f>IF(AND(1619999&gt;=D25,D25&gt;=1619000),1069000,"")</f>
        <v/>
      </c>
      <c r="U22" s="615" t="str">
        <f>IF(AND(1619999&gt;=D26,D26&gt;=1619000),1069000,"")</f>
        <v/>
      </c>
      <c r="V22" s="616" t="str">
        <f>IF(AND(1619999&gt;=D27,D27&gt;=1619000),1069000,"")</f>
        <v/>
      </c>
      <c r="X22" s="725" t="s">
        <v>370</v>
      </c>
      <c r="Y22" s="626" t="s">
        <v>378</v>
      </c>
      <c r="Z22" s="752" t="s">
        <v>387</v>
      </c>
      <c r="AA22" s="753"/>
    </row>
    <row r="23" spans="2:27">
      <c r="B23" s="625" t="s">
        <v>360</v>
      </c>
      <c r="C23" s="591"/>
      <c r="D23" s="730"/>
      <c r="E23" s="731"/>
      <c r="F23" s="730"/>
      <c r="G23" s="731"/>
      <c r="H23" s="730"/>
      <c r="I23" s="736"/>
      <c r="J23" s="620">
        <f>IF(C23=0,0,R57)</f>
        <v>0</v>
      </c>
      <c r="P23" s="614" t="str">
        <f>IF(AND(1621999&gt;=D21,D21&gt;=1620000),1070000,"")</f>
        <v/>
      </c>
      <c r="Q23" s="615" t="str">
        <f>IF(AND(1621999&gt;=D22,D22&gt;=1620000),1070000,"")</f>
        <v/>
      </c>
      <c r="R23" s="615" t="str">
        <f>IF(AND(1621999&gt;=D23,D23&gt;=1620000),1070000,"")</f>
        <v/>
      </c>
      <c r="S23" s="615" t="str">
        <f>IF(AND(1621999&gt;=D24,D24&gt;=1620000),1070000,"")</f>
        <v/>
      </c>
      <c r="T23" s="615" t="str">
        <f>IF(AND(1621999&gt;=D25,D25&gt;=1620000),1070000,"")</f>
        <v/>
      </c>
      <c r="U23" s="615" t="str">
        <f>IF(AND(1621999&gt;=D26,D26&gt;=1620000),1070000,"")</f>
        <v/>
      </c>
      <c r="V23" s="616" t="str">
        <f>IF(AND(1621999&gt;=D27,D27&gt;=1620000),1070000,"")</f>
        <v/>
      </c>
      <c r="X23" s="723"/>
      <c r="Y23" s="626" t="s">
        <v>379</v>
      </c>
      <c r="Z23" s="752" t="s">
        <v>388</v>
      </c>
      <c r="AA23" s="753"/>
    </row>
    <row r="24" spans="2:27">
      <c r="B24" s="625" t="s">
        <v>361</v>
      </c>
      <c r="C24" s="591"/>
      <c r="D24" s="730"/>
      <c r="E24" s="731"/>
      <c r="F24" s="730"/>
      <c r="G24" s="731"/>
      <c r="H24" s="730"/>
      <c r="I24" s="736"/>
      <c r="J24" s="620">
        <f>IF(C24=0,0,S57)</f>
        <v>0</v>
      </c>
      <c r="P24" s="614" t="str">
        <f>IF(AND(1623999&gt;=D21,D21&gt;=1622000),1072000,"")</f>
        <v/>
      </c>
      <c r="Q24" s="615" t="str">
        <f>IF(AND(1623999&gt;=D22,D22&gt;=1622000),1072000,"")</f>
        <v/>
      </c>
      <c r="R24" s="615" t="str">
        <f>IF(AND(1623999&gt;=D23,D23&gt;=1622000),1072000,"")</f>
        <v/>
      </c>
      <c r="S24" s="615" t="str">
        <f>IF(AND(1623999&gt;=D24,D24&gt;=1622000),1072000,"")</f>
        <v/>
      </c>
      <c r="T24" s="615" t="str">
        <f>IF(AND(1623999&gt;=D25,D25&gt;=1622000),1072000,"")</f>
        <v/>
      </c>
      <c r="U24" s="615" t="str">
        <f>IF(AND(1623999&gt;=D26,D26&gt;=1622000),1072000,"")</f>
        <v/>
      </c>
      <c r="V24" s="616" t="str">
        <f>IF(AND(1623999&gt;=D27,D27&gt;=1622000),1072000,"")</f>
        <v/>
      </c>
      <c r="X24" s="723"/>
      <c r="Y24" s="626" t="s">
        <v>380</v>
      </c>
      <c r="Z24" s="752" t="s">
        <v>389</v>
      </c>
      <c r="AA24" s="753"/>
    </row>
    <row r="25" spans="2:27">
      <c r="B25" s="625" t="s">
        <v>362</v>
      </c>
      <c r="C25" s="591"/>
      <c r="D25" s="730"/>
      <c r="E25" s="731"/>
      <c r="F25" s="730"/>
      <c r="G25" s="731"/>
      <c r="H25" s="730"/>
      <c r="I25" s="736"/>
      <c r="J25" s="620">
        <f>IF(C25=0,0,T57)</f>
        <v>0</v>
      </c>
      <c r="P25" s="614" t="str">
        <f>IF(AND(1627999&gt;=D21,D21&gt;=1624000),1074000,"")</f>
        <v/>
      </c>
      <c r="Q25" s="615" t="str">
        <f>IF(AND(1627999&gt;=D22,D22&gt;=1624000),1074000,"")</f>
        <v/>
      </c>
      <c r="R25" s="615" t="str">
        <f>IF(AND(1627999&gt;=D23,D23&gt;=1624000),1074000,"")</f>
        <v/>
      </c>
      <c r="S25" s="615" t="str">
        <f>IF(AND(1627999&gt;=D24,D24&gt;=1624000),1074000,"")</f>
        <v/>
      </c>
      <c r="T25" s="615" t="str">
        <f>IF(AND(1627999&gt;=D25,D25&gt;=1624000),1074000,"")</f>
        <v/>
      </c>
      <c r="U25" s="615" t="str">
        <f>IF(AND(1627999&gt;=D26,D26&gt;=1624000),1074000,"")</f>
        <v/>
      </c>
      <c r="V25" s="616" t="str">
        <f>IF(AND(1627999&gt;=D27,D27&gt;=1624000),1074000,"")</f>
        <v/>
      </c>
      <c r="X25" s="724"/>
      <c r="Y25" s="626" t="s">
        <v>381</v>
      </c>
      <c r="Z25" s="752" t="s">
        <v>390</v>
      </c>
      <c r="AA25" s="753"/>
    </row>
    <row r="26" spans="2:27">
      <c r="B26" s="625" t="s">
        <v>363</v>
      </c>
      <c r="C26" s="591"/>
      <c r="D26" s="730"/>
      <c r="E26" s="731"/>
      <c r="F26" s="730"/>
      <c r="G26" s="731"/>
      <c r="H26" s="730"/>
      <c r="I26" s="736"/>
      <c r="J26" s="620">
        <f>IF(C26=0,0,U57)</f>
        <v>0</v>
      </c>
      <c r="P26" s="614" t="str">
        <f>IF(AND(1628000&lt;=D21,D21&lt;=1799999),ROUNDDOWN(D21/4000,0)*4000*0.6+100000,"")</f>
        <v/>
      </c>
      <c r="Q26" s="615" t="str">
        <f>IF(AND(1628000&lt;=D22,D22&lt;=1799999),ROUNDDOWN(D22/4000,0)*4000*0.6+100000,"")</f>
        <v/>
      </c>
      <c r="R26" s="615" t="str">
        <f>IF(AND(1628000&lt;=D23,D23&lt;=1799999),ROUNDDOWN(D23/4000,0)*4000*0.6+100000,"")</f>
        <v/>
      </c>
      <c r="S26" s="615" t="str">
        <f>IF(AND(1628000&lt;=D24,D24&lt;=1799999),ROUNDDOWN(D24/4000,0)*4000*0.6+100000,"")</f>
        <v/>
      </c>
      <c r="T26" s="615" t="str">
        <f>IF(AND(1628000&lt;=D25,D25&lt;=1799999),ROUNDDOWN(D25/4000,0)*4000*0.6+100000,"")</f>
        <v/>
      </c>
      <c r="U26" s="615" t="str">
        <f>IF(AND(1628000&lt;=D26,D26&lt;=1799999),ROUNDDOWN(D26/4000,0)*4000*0.6+100000,"")</f>
        <v/>
      </c>
      <c r="V26" s="616" t="str">
        <f>IF(AND(1628000&lt;=D27,D27&lt;=1799999),ROUNDDOWN(D27/4000,0)*4000*0.6+100000,"")</f>
        <v/>
      </c>
      <c r="X26" s="722" t="s">
        <v>452</v>
      </c>
      <c r="Y26" s="626" t="s">
        <v>382</v>
      </c>
      <c r="Z26" s="709">
        <v>0.6</v>
      </c>
      <c r="AA26" s="627" t="s">
        <v>392</v>
      </c>
    </row>
    <row r="27" spans="2:27" ht="14.25" thickBot="1">
      <c r="B27" s="628" t="s">
        <v>364</v>
      </c>
      <c r="C27" s="592"/>
      <c r="D27" s="732"/>
      <c r="E27" s="733"/>
      <c r="F27" s="734"/>
      <c r="G27" s="733"/>
      <c r="H27" s="734"/>
      <c r="I27" s="735"/>
      <c r="J27" s="629">
        <f>IF(C27=0,0,V57)</f>
        <v>0</v>
      </c>
      <c r="P27" s="614" t="str">
        <f>IF(AND(1800000&lt;=D21,D21&lt;=3599999),ROUNDDOWN(D21/4000,0)*4000*0.7-80000,"")</f>
        <v/>
      </c>
      <c r="Q27" s="615" t="str">
        <f>IF(AND(1800000&lt;=D22,D22&lt;=3599999),ROUNDDOWN(D22/4000,0)*4000*0.7-80000,"")</f>
        <v/>
      </c>
      <c r="R27" s="615" t="str">
        <f>IF(AND(1800000&lt;=D23,D23&lt;=3599999),ROUNDDOWN(D23/4000,0)*4000*0.7-80000,"")</f>
        <v/>
      </c>
      <c r="S27" s="615" t="str">
        <f>IF(AND(1800000&lt;=D24,D24&lt;=3599999),ROUNDDOWN(D24/4000,0)*4000*0.7-80000,"")</f>
        <v/>
      </c>
      <c r="T27" s="615" t="str">
        <f>IF(AND(1800000&lt;=D25,D25&lt;=3599999),ROUNDDOWN(D25/4000,0)*4000*0.7-80000,"")</f>
        <v/>
      </c>
      <c r="U27" s="615" t="str">
        <f>IF(AND(1800000&lt;=D26,D26&lt;=3599999),ROUNDDOWN(D26/4000,0)*4000*0.7-80000,"")</f>
        <v/>
      </c>
      <c r="V27" s="616" t="str">
        <f>IF(AND(1800000&lt;=D27,D27&lt;=3599999),ROUNDDOWN(D27/4000,0)*4000*0.7-80000,"")</f>
        <v/>
      </c>
      <c r="X27" s="723"/>
      <c r="Y27" s="626" t="s">
        <v>383</v>
      </c>
      <c r="Z27" s="709">
        <v>0.7</v>
      </c>
      <c r="AA27" s="624">
        <v>80000</v>
      </c>
    </row>
    <row r="28" spans="2:27" ht="14.25" thickTop="1">
      <c r="B28" s="630" t="s">
        <v>448</v>
      </c>
      <c r="C28" s="631">
        <v>63</v>
      </c>
      <c r="D28" s="791">
        <v>2564360</v>
      </c>
      <c r="E28" s="791"/>
      <c r="F28" s="791">
        <v>630124</v>
      </c>
      <c r="G28" s="791"/>
      <c r="H28" s="791">
        <v>0</v>
      </c>
      <c r="I28" s="791"/>
      <c r="J28" s="632">
        <v>1714800</v>
      </c>
      <c r="P28" s="614" t="str">
        <f>IF(AND(3600000&lt;=D21,D21&lt;=6599999),ROUNDDOWN(D21/4000,0)*4000*0.8-440000,"")</f>
        <v/>
      </c>
      <c r="Q28" s="615" t="str">
        <f>IF(AND(3600000&lt;=D22,D22&lt;=6599999),ROUNDDOWN(D22/4000,0)*4000*0.8-440000,"")</f>
        <v/>
      </c>
      <c r="R28" s="615" t="str">
        <f>IF(AND(3600000&lt;=D23,D23&lt;=6599999),ROUNDDOWN(D23/4000,0)*4000*0.8-440000,"")</f>
        <v/>
      </c>
      <c r="S28" s="615" t="str">
        <f>IF(AND(3600000&lt;=D24,D24&lt;=6599999),ROUNDDOWN(D24/4000,0)*4000*0.8-440000,"")</f>
        <v/>
      </c>
      <c r="T28" s="615" t="str">
        <f>IF(AND(3600000&lt;=D25,D25&lt;=6599999),ROUNDDOWN(D25/4000,0)*4000*0.8-440000,"")</f>
        <v/>
      </c>
      <c r="U28" s="615" t="str">
        <f>IF(AND(3600000&lt;=D26,D26&lt;=6599999),ROUNDDOWN(D26/4000,0)*4000*0.8-440000,"")</f>
        <v/>
      </c>
      <c r="V28" s="616" t="str">
        <f>IF(AND(3600000&lt;=D27,D27&lt;=6599999),ROUNDDOWN(D27/4000,0)*4000*0.8-440000,"")</f>
        <v/>
      </c>
      <c r="X28" s="724"/>
      <c r="Y28" s="626" t="s">
        <v>384</v>
      </c>
      <c r="Z28" s="709">
        <v>0.8</v>
      </c>
      <c r="AA28" s="624">
        <v>440000</v>
      </c>
    </row>
    <row r="29" spans="2:27" ht="13.5" customHeight="1">
      <c r="P29" s="614" t="str">
        <f>IF(AND(6600000&lt;=D21,D21&lt;=8499999),ROUNDDOWN(D21*0.9-1100000,0),"")</f>
        <v/>
      </c>
      <c r="Q29" s="615" t="str">
        <f>IF(AND(6600000&lt;=D22,D22&lt;=8499999),ROUNDDOWN(D22*0.9-1100000,0),"")</f>
        <v/>
      </c>
      <c r="R29" s="615" t="str">
        <f>IF(AND(6600000&lt;=D23,D23&lt;=8499999),ROUNDDOWN(D23*0.9-1100000,0),"")</f>
        <v/>
      </c>
      <c r="S29" s="615" t="str">
        <f>IF(AND(6600000&lt;=D24,D24&lt;=8499999),ROUNDDOWN(D24*0.9-1100000,0),"")</f>
        <v/>
      </c>
      <c r="T29" s="615" t="str">
        <f>IF(AND(6600000&lt;=D25,D25&lt;=8499999),ROUNDDOWN(D25*0.9-1100000,0),"")</f>
        <v/>
      </c>
      <c r="U29" s="615" t="str">
        <f>IF(AND(6600000&lt;=D26,D26&lt;=8499999),ROUNDDOWN(D26*0.9-1100000,0),"")</f>
        <v/>
      </c>
      <c r="V29" s="616" t="str">
        <f>IF(AND(6600000&lt;=D27,D27&lt;=8499999),ROUNDDOWN(D27*0.9-1100000,0),"")</f>
        <v/>
      </c>
      <c r="X29" s="725" t="s">
        <v>371</v>
      </c>
      <c r="Y29" s="626" t="s">
        <v>385</v>
      </c>
      <c r="Z29" s="709">
        <v>0.9</v>
      </c>
      <c r="AA29" s="624">
        <v>1100000</v>
      </c>
    </row>
    <row r="30" spans="2:27" ht="16.5" customHeight="1">
      <c r="D30" s="633"/>
      <c r="E30" s="633"/>
      <c r="P30" s="634" t="str">
        <f>IF(D21&gt;=8500000,D21-1950000,"")</f>
        <v/>
      </c>
      <c r="Q30" s="635" t="str">
        <f>IF(D22&gt;=8500000,D22-1950000,"")</f>
        <v/>
      </c>
      <c r="R30" s="635" t="str">
        <f>IF(D23&gt;=8500000,D23-1950000,"")</f>
        <v/>
      </c>
      <c r="S30" s="635" t="str">
        <f>IF(D24&gt;=8500000,D24-1950000,"")</f>
        <v/>
      </c>
      <c r="T30" s="635" t="str">
        <f>IF(D25&gt;=8500000,D25-1950000,"")</f>
        <v/>
      </c>
      <c r="U30" s="635" t="str">
        <f>IF(D26&gt;=8500000,D26-1950000,"")</f>
        <v/>
      </c>
      <c r="V30" s="636" t="str">
        <f>IF(D27&gt;=8500000,D27-1950000,"")</f>
        <v/>
      </c>
      <c r="X30" s="726"/>
      <c r="Y30" s="637" t="s">
        <v>377</v>
      </c>
      <c r="Z30" s="754" t="s">
        <v>391</v>
      </c>
      <c r="AA30" s="755"/>
    </row>
    <row r="31" spans="2:27" ht="18" thickBot="1">
      <c r="B31" s="594" t="s">
        <v>441</v>
      </c>
      <c r="D31" s="633"/>
      <c r="E31" s="633"/>
      <c r="O31" s="638" t="s">
        <v>451</v>
      </c>
      <c r="P31" s="639">
        <f>SUM(P20:P30)</f>
        <v>0</v>
      </c>
      <c r="Q31" s="640">
        <f t="shared" ref="Q31:V31" si="0">SUM(Q20:Q30)</f>
        <v>0</v>
      </c>
      <c r="R31" s="640">
        <f t="shared" si="0"/>
        <v>0</v>
      </c>
      <c r="S31" s="640">
        <f t="shared" si="0"/>
        <v>0</v>
      </c>
      <c r="T31" s="640">
        <f t="shared" si="0"/>
        <v>0</v>
      </c>
      <c r="U31" s="640">
        <f t="shared" si="0"/>
        <v>0</v>
      </c>
      <c r="V31" s="641">
        <f t="shared" si="0"/>
        <v>0</v>
      </c>
    </row>
    <row r="32" spans="2:27" ht="13.5" customHeight="1">
      <c r="B32" s="759" t="s">
        <v>442</v>
      </c>
      <c r="C32" s="760"/>
      <c r="D32" s="770">
        <f>SUM(D34:F39)</f>
        <v>0</v>
      </c>
      <c r="E32" s="771"/>
      <c r="F32" s="771"/>
      <c r="G32" s="642"/>
      <c r="H32" s="643"/>
      <c r="I32" s="759" t="s">
        <v>459</v>
      </c>
      <c r="J32" s="785"/>
      <c r="K32" s="796" t="s">
        <v>446</v>
      </c>
      <c r="L32" s="797"/>
      <c r="O32" s="638" t="s">
        <v>458</v>
      </c>
      <c r="P32" s="639">
        <f>IF(P54=1,P31,IF(AND(P54=2,P31+P48&lt;100000),P31,IF(AND(P54=2,P31+P48&gt;=100000,P31+P48&lt;200000),P31-(P31+P48-100000),IF(AND(P48&gt;0,P48&lt;100000),MAX(P31-P48,0),IF(P48&gt;=100000,MAX(P31-100000,0),0)))))</f>
        <v>0</v>
      </c>
      <c r="Q32" s="640">
        <f t="shared" ref="Q32:V32" si="1">IF(Q54=1,Q31,IF(AND(Q54=2,Q31+Q48&lt;100000),Q31,IF(AND(Q54=2,Q31+Q48&gt;=100000,Q31+Q48&lt;200000),Q31-(Q31+Q48-100000),IF(AND(Q48&gt;0,Q48&lt;100000),MAX(Q31-Q48,0),IF(Q48&gt;=100000,MAX(Q31-100000,0),0)))))</f>
        <v>0</v>
      </c>
      <c r="R32" s="640">
        <f t="shared" si="1"/>
        <v>0</v>
      </c>
      <c r="S32" s="640">
        <f t="shared" si="1"/>
        <v>0</v>
      </c>
      <c r="T32" s="640">
        <f t="shared" si="1"/>
        <v>0</v>
      </c>
      <c r="U32" s="640">
        <f t="shared" si="1"/>
        <v>0</v>
      </c>
      <c r="V32" s="641">
        <f t="shared" si="1"/>
        <v>0</v>
      </c>
    </row>
    <row r="33" spans="2:27" ht="13.5" customHeight="1">
      <c r="B33" s="761"/>
      <c r="C33" s="762"/>
      <c r="D33" s="772"/>
      <c r="E33" s="773"/>
      <c r="F33" s="773"/>
      <c r="G33" s="711" t="s">
        <v>6</v>
      </c>
      <c r="H33" s="644"/>
      <c r="I33" s="761"/>
      <c r="J33" s="786"/>
      <c r="K33" s="798"/>
      <c r="L33" s="799"/>
    </row>
    <row r="34" spans="2:27" ht="13.5" customHeight="1">
      <c r="B34" s="763" t="s">
        <v>443</v>
      </c>
      <c r="C34" s="764"/>
      <c r="D34" s="774">
        <f>IF(C21=0,0,'合計（印刷）'!$F$4)</f>
        <v>0</v>
      </c>
      <c r="E34" s="775"/>
      <c r="F34" s="775"/>
      <c r="G34" s="645"/>
      <c r="H34" s="643"/>
      <c r="I34" s="787">
        <f>D32/12</f>
        <v>0</v>
      </c>
      <c r="J34" s="788"/>
      <c r="K34" s="794" t="str">
        <f>IF(C21=0,"",O65)</f>
        <v/>
      </c>
      <c r="L34" s="646"/>
      <c r="P34" s="593" t="s">
        <v>420</v>
      </c>
      <c r="X34" s="602" t="s">
        <v>402</v>
      </c>
      <c r="Y34" s="602"/>
      <c r="Z34" s="602"/>
      <c r="AA34" s="602"/>
    </row>
    <row r="35" spans="2:27" ht="13.5" customHeight="1">
      <c r="B35" s="765"/>
      <c r="C35" s="766"/>
      <c r="D35" s="776"/>
      <c r="E35" s="777"/>
      <c r="F35" s="777"/>
      <c r="G35" s="711" t="s">
        <v>6</v>
      </c>
      <c r="H35" s="644"/>
      <c r="I35" s="787"/>
      <c r="J35" s="788"/>
      <c r="K35" s="794"/>
      <c r="L35" s="780" t="s">
        <v>447</v>
      </c>
      <c r="O35" s="647"/>
      <c r="P35" s="648" t="s">
        <v>413</v>
      </c>
      <c r="Q35" s="649" t="s">
        <v>414</v>
      </c>
      <c r="R35" s="649" t="s">
        <v>415</v>
      </c>
      <c r="S35" s="649" t="s">
        <v>416</v>
      </c>
      <c r="T35" s="649" t="s">
        <v>417</v>
      </c>
      <c r="U35" s="649" t="s">
        <v>418</v>
      </c>
      <c r="V35" s="650" t="s">
        <v>419</v>
      </c>
      <c r="X35" s="651"/>
      <c r="Y35" s="652" t="s">
        <v>403</v>
      </c>
      <c r="Z35" s="652" t="s">
        <v>373</v>
      </c>
      <c r="AA35" s="653" t="s">
        <v>374</v>
      </c>
    </row>
    <row r="36" spans="2:27" ht="13.5" customHeight="1">
      <c r="B36" s="765" t="s">
        <v>444</v>
      </c>
      <c r="C36" s="766"/>
      <c r="D36" s="776">
        <f>IF(C21=0,0,'合計（印刷）'!$F$6)</f>
        <v>0</v>
      </c>
      <c r="E36" s="777"/>
      <c r="F36" s="777"/>
      <c r="G36" s="654"/>
      <c r="H36" s="643"/>
      <c r="I36" s="787"/>
      <c r="J36" s="788"/>
      <c r="K36" s="794"/>
      <c r="L36" s="780"/>
      <c r="O36" s="743" t="s">
        <v>411</v>
      </c>
      <c r="P36" s="655">
        <f>IF(C21&lt;65,(IF(F21&lt;=600000,0,"")),"")</f>
        <v>0</v>
      </c>
      <c r="Q36" s="656">
        <f>IF(C22&lt;65,(IF(F22&lt;=600000,0,"")),"")</f>
        <v>0</v>
      </c>
      <c r="R36" s="656">
        <f>IF(C23&lt;65,(IF(F23&lt;=600000,0,"")),"")</f>
        <v>0</v>
      </c>
      <c r="S36" s="656">
        <f>IF(C24&lt;65,(IF(F24&lt;=600000,0,"")),"")</f>
        <v>0</v>
      </c>
      <c r="T36" s="656">
        <f>IF(C25&lt;65,(IF(F25&lt;=600000,0,"")),"")</f>
        <v>0</v>
      </c>
      <c r="U36" s="656">
        <f>IF(C26&lt;65,(IF(F26&lt;=600000,0,"")),"")</f>
        <v>0</v>
      </c>
      <c r="V36" s="657">
        <f>IF(C27&lt;65,(IF(F27&lt;=600000,0,"")),"")</f>
        <v>0</v>
      </c>
      <c r="X36" s="706" t="s">
        <v>411</v>
      </c>
      <c r="Y36" s="737" t="s">
        <v>404</v>
      </c>
      <c r="Z36" s="739">
        <v>1</v>
      </c>
      <c r="AA36" s="741">
        <v>600000</v>
      </c>
    </row>
    <row r="37" spans="2:27" ht="13.5" customHeight="1" thickBot="1">
      <c r="B37" s="765"/>
      <c r="C37" s="766"/>
      <c r="D37" s="776"/>
      <c r="E37" s="777"/>
      <c r="F37" s="777"/>
      <c r="G37" s="658" t="s">
        <v>6</v>
      </c>
      <c r="H37" s="644"/>
      <c r="I37" s="789"/>
      <c r="J37" s="790"/>
      <c r="K37" s="795"/>
      <c r="L37" s="659"/>
      <c r="O37" s="744"/>
      <c r="P37" s="614" t="str">
        <f>IF(C21&lt;65,(IF(AND(F21&lt;1300000,F21&gt;600000),F21-600000,"")),"")</f>
        <v/>
      </c>
      <c r="Q37" s="615" t="str">
        <f>IF(C22&lt;65,(IF(AND(F22&lt;1300000,F22&gt;600000),F22-600000,"")),"")</f>
        <v/>
      </c>
      <c r="R37" s="615" t="str">
        <f>IF(C23&lt;65,(IF(AND(F23&lt;1300000,F23&gt;600000),F23-600000,"")),"")</f>
        <v/>
      </c>
      <c r="S37" s="615" t="str">
        <f>IF(C24&lt;65,(IF(AND(F24&lt;1300000,F24&gt;600000),F24-600000,"")),"")</f>
        <v/>
      </c>
      <c r="T37" s="615" t="str">
        <f>IF(C25&lt;65,(IF(AND(F25&lt;1300000,F25&gt;600000),F25-600000,"")),"")</f>
        <v/>
      </c>
      <c r="U37" s="615" t="str">
        <f>IF(C26&lt;65,(IF(AND(F26&lt;1300000,F26&gt;600000),F26-600000,"")),"")</f>
        <v/>
      </c>
      <c r="V37" s="616" t="str">
        <f>IF(C27&lt;65,(IF(AND(F27&lt;1300000,F27&gt;600000),F27-600000,"")),"")</f>
        <v/>
      </c>
      <c r="X37" s="707"/>
      <c r="Y37" s="738"/>
      <c r="Z37" s="740"/>
      <c r="AA37" s="742"/>
    </row>
    <row r="38" spans="2:27" ht="13.5" customHeight="1">
      <c r="B38" s="765" t="s">
        <v>445</v>
      </c>
      <c r="C38" s="766"/>
      <c r="D38" s="776">
        <f>IF(C21=0,0,'合計（印刷）'!$F$8)</f>
        <v>0</v>
      </c>
      <c r="E38" s="777"/>
      <c r="F38" s="777"/>
      <c r="G38" s="660"/>
      <c r="H38" s="643"/>
      <c r="K38" s="767" t="s">
        <v>450</v>
      </c>
      <c r="L38" s="767"/>
      <c r="O38" s="744"/>
      <c r="P38" s="614" t="str">
        <f>IF(C21&lt;65,(IF(AND(1300000&lt;=F21,F21&lt;4100000),ROUNDDOWN(F21*0.75-275000,0),"")),"")</f>
        <v/>
      </c>
      <c r="Q38" s="615" t="str">
        <f>IF(C22&lt;65,(IF(AND(1300000&lt;=F22,F22&lt;4100000),ROUNDDOWN(F22*0.75-275000,0),"")),"")</f>
        <v/>
      </c>
      <c r="R38" s="615" t="str">
        <f>IF(C23&lt;65,(IF(AND(1300000&lt;=F23,F23&lt;4100000),ROUNDDOWN(F23*0.75-275000,0),"")),"")</f>
        <v/>
      </c>
      <c r="S38" s="615" t="str">
        <f>IF(C24&lt;65,(IF(AND(1300000&lt;=F24,F24&lt;4100000),ROUNDDOWN(F24*0.75-275000,0),"")),"")</f>
        <v/>
      </c>
      <c r="T38" s="615" t="str">
        <f>IF(C25&lt;65,(IF(AND(1300000&lt;=F25,F25&lt;4100000),ROUNDDOWN(F25*0.75-275000,0),"")),"")</f>
        <v/>
      </c>
      <c r="U38" s="615" t="str">
        <f>IF(C26&lt;65,(IF(AND(1300000&lt;=F26,F26&lt;4100000),ROUNDDOWN(F26*0.75-275000,0),"")),"")</f>
        <v/>
      </c>
      <c r="V38" s="616" t="str">
        <f>IF(C27&lt;65,(IF(AND(1300000&lt;=F27,F27&lt;4100000),ROUNDDOWN(F27*0.75-275000,0),"")),"")</f>
        <v/>
      </c>
      <c r="X38" s="707"/>
      <c r="Y38" s="622" t="s">
        <v>405</v>
      </c>
      <c r="Z38" s="661">
        <v>0.75</v>
      </c>
      <c r="AA38" s="616">
        <v>275000</v>
      </c>
    </row>
    <row r="39" spans="2:27" ht="13.5" customHeight="1" thickBot="1">
      <c r="B39" s="768"/>
      <c r="C39" s="769"/>
      <c r="D39" s="778"/>
      <c r="E39" s="779"/>
      <c r="F39" s="779"/>
      <c r="G39" s="662" t="s">
        <v>6</v>
      </c>
      <c r="H39" s="644"/>
      <c r="O39" s="744"/>
      <c r="P39" s="614" t="str">
        <f>IF(C21&lt;65,(IF(AND(4100000&lt;=F21,F21&lt;7700000),ROUNDDOWN(F21*0.85-685000,0),"")),"")</f>
        <v/>
      </c>
      <c r="Q39" s="615" t="str">
        <f>IF(C22&lt;65,(IF(AND(4100000&lt;=F22,F22&lt;7700000),ROUNDDOWN(F22*0.85-685000,0),"")),"")</f>
        <v/>
      </c>
      <c r="R39" s="615" t="str">
        <f>IF(C23&lt;65,(IF(AND(4100000&lt;=F23,F23&lt;7700000),ROUNDDOWN(F23*0.85-685000,0),"")),"")</f>
        <v/>
      </c>
      <c r="S39" s="615" t="str">
        <f>IF(C24&lt;65,(IF(AND(4100000&lt;=F24,F24&lt;7700000),ROUNDDOWN(F24*0.85-685000,0),"")),"")</f>
        <v/>
      </c>
      <c r="T39" s="615" t="str">
        <f>IF(C25&lt;65,(IF(AND(4100000&lt;=F25,F25&lt;7700000),ROUNDDOWN(F25*0.85-685000,0),"")),"")</f>
        <v/>
      </c>
      <c r="U39" s="615" t="str">
        <f>IF(C26&lt;65,(IF(AND(4100000&lt;=F26,F26&lt;7700000),ROUNDDOWN(F26*0.85-685000,0),"")),"")</f>
        <v/>
      </c>
      <c r="V39" s="616" t="str">
        <f>IF(C27&lt;65,(IF(AND(4100000&lt;=F27,F27&lt;7700000),ROUNDDOWN(F27*0.85-685000,0),"")),"")</f>
        <v/>
      </c>
      <c r="X39" s="707"/>
      <c r="Y39" s="622" t="s">
        <v>406</v>
      </c>
      <c r="Z39" s="661">
        <v>0.85</v>
      </c>
      <c r="AA39" s="616">
        <v>685000</v>
      </c>
    </row>
    <row r="40" spans="2:27">
      <c r="O40" s="744"/>
      <c r="P40" s="614" t="str">
        <f>IF(C21&lt;65,(IF(AND(7700000&lt;=F21,F21&lt;10000000),ROUNDDOWN(F21*0.95-1455000,0),"")),"")</f>
        <v/>
      </c>
      <c r="Q40" s="615" t="str">
        <f>IF(C22&lt;65,(IF(AND(7700000&lt;=F22,F22&lt;10000000),ROUNDDOWN(F22*0.95-1455000,0),"")),"")</f>
        <v/>
      </c>
      <c r="R40" s="615" t="str">
        <f>IF(C23&lt;65,(IF(AND(7700000&lt;=F23,F23&lt;10000000),ROUNDDOWN(F23*0.95-1455000,0),"")),"")</f>
        <v/>
      </c>
      <c r="S40" s="615" t="str">
        <f>IF(C24&lt;65,(IF(AND(7700000&lt;=F24,F24&lt;10000000),ROUNDDOWN(F24*0.95-1455000,0),"")),"")</f>
        <v/>
      </c>
      <c r="T40" s="615" t="str">
        <f>IF(C25&lt;65,(IF(AND(7700000&lt;=F25,F25&lt;10000000),ROUNDDOWN(F25*0.95-1455000,0),"")),"")</f>
        <v/>
      </c>
      <c r="U40" s="615" t="str">
        <f>IF(C26&lt;65,(IF(AND(7700000&lt;=F26,F26&lt;10000000),ROUNDDOWN(F26*0.95-1455000,0),"")),"")</f>
        <v/>
      </c>
      <c r="V40" s="616" t="str">
        <f>IF(C27&lt;65,(IF(AND(7700000&lt;=F27,F27&lt;10000000),ROUNDDOWN(F27*0.95-1455000,0),"")),"")</f>
        <v/>
      </c>
      <c r="X40" s="707"/>
      <c r="Y40" s="622" t="s">
        <v>407</v>
      </c>
      <c r="Z40" s="661">
        <v>0.95</v>
      </c>
      <c r="AA40" s="616">
        <v>1455000</v>
      </c>
    </row>
    <row r="41" spans="2:27" ht="21.75" customHeight="1">
      <c r="B41" s="594"/>
      <c r="O41" s="745"/>
      <c r="P41" s="634" t="str">
        <f>IF(C21&lt;65,IF(F21&gt;=10000000,F21-1955000,""),"")</f>
        <v/>
      </c>
      <c r="Q41" s="635" t="str">
        <f>IF(C22&lt;65,IF(F22&gt;=10000000,F22-1955000,""),"")</f>
        <v/>
      </c>
      <c r="R41" s="635" t="str">
        <f>IF(C23&lt;65,IF(F23&gt;=10000000,F23-1955000,""),"")</f>
        <v/>
      </c>
      <c r="S41" s="635" t="str">
        <f>IF(C24&lt;65,IF(F24&gt;=10000000,F24-1955000,""),"")</f>
        <v/>
      </c>
      <c r="T41" s="635" t="str">
        <f>IF(C25&lt;65,IF(F25&gt;=10000000,F25-1955000,""),"")</f>
        <v/>
      </c>
      <c r="U41" s="635" t="str">
        <f>IF(C26&lt;65,IF(F26&gt;=10000000,F26-1955000,""),"")</f>
        <v/>
      </c>
      <c r="V41" s="636" t="str">
        <f>IF(C27&lt;65,IF(F27&gt;=10000000,F27-1955000,""),"")</f>
        <v/>
      </c>
      <c r="X41" s="708"/>
      <c r="Y41" s="663" t="s">
        <v>408</v>
      </c>
      <c r="Z41" s="664">
        <v>1</v>
      </c>
      <c r="AA41" s="665">
        <v>1955000</v>
      </c>
    </row>
    <row r="42" spans="2:27" ht="16.5" customHeight="1">
      <c r="O42" s="727" t="s">
        <v>412</v>
      </c>
      <c r="P42" s="655" t="str">
        <f>IF(C21&gt;=65,(IF(F21&lt;=1100000,0,"")),"")</f>
        <v/>
      </c>
      <c r="Q42" s="656" t="str">
        <f>IF(C22&gt;=65,(IF(F22&lt;=1100000,0,"")),"")</f>
        <v/>
      </c>
      <c r="R42" s="656" t="str">
        <f>IF(C23&gt;=65,(IF(F23&lt;=1100000,0,"")),"")</f>
        <v/>
      </c>
      <c r="S42" s="656" t="str">
        <f>IF(C24&gt;=65,(IF(F24&lt;=1100000,0,"")),"")</f>
        <v/>
      </c>
      <c r="T42" s="656" t="str">
        <f>IF(C25&gt;=65,(IF(F25&lt;=1100000,0,"")),"")</f>
        <v/>
      </c>
      <c r="U42" s="656" t="str">
        <f>IF(C26&gt;=65,(IF(F26&lt;=1100000,0,"")),"")</f>
        <v/>
      </c>
      <c r="V42" s="657" t="str">
        <f>IF(C27&gt;=65,(IF(F27&lt;=1100000,0,"")),"")</f>
        <v/>
      </c>
      <c r="X42" s="747" t="s">
        <v>412</v>
      </c>
      <c r="Y42" s="737" t="s">
        <v>409</v>
      </c>
      <c r="Z42" s="739">
        <v>1</v>
      </c>
      <c r="AA42" s="741">
        <v>1100000</v>
      </c>
    </row>
    <row r="43" spans="2:27">
      <c r="O43" s="728"/>
      <c r="P43" s="614" t="str">
        <f>IF(C21&gt;=65,(IF(AND(F21&lt;3300000,F21&gt;1100000),F21-1100000,"")),"")</f>
        <v/>
      </c>
      <c r="Q43" s="615" t="str">
        <f>IF(C22&gt;=65,(IF(AND(F22&lt;3300000,F22&gt;1100000),F22-1100000,"")),"")</f>
        <v/>
      </c>
      <c r="R43" s="615" t="str">
        <f>IF(C23&gt;=65,(IF(AND(F23&lt;3300000,F23&gt;1100000),F23-1100000,"")),"")</f>
        <v/>
      </c>
      <c r="S43" s="615" t="str">
        <f>IF(C24&gt;=65,(IF(AND(F24&lt;3300000,F24&gt;1100000),F24-1100000,"")),"")</f>
        <v/>
      </c>
      <c r="T43" s="615" t="str">
        <f>IF(C25&gt;=65,(IF(AND(F25&lt;3300000,F25&gt;1100000),F25-1100000,"")),"")</f>
        <v/>
      </c>
      <c r="U43" s="615" t="str">
        <f>IF(C26&gt;=65,(IF(AND(F26&lt;3300000,F26&gt;1100000),F26-1100000,"")),"")</f>
        <v/>
      </c>
      <c r="V43" s="616" t="str">
        <f>IF(C27&gt;=65,(IF(AND(F27&lt;3300000,F27&gt;1100000),F27-1100000,"")),"")</f>
        <v/>
      </c>
      <c r="X43" s="748"/>
      <c r="Y43" s="738"/>
      <c r="Z43" s="740"/>
      <c r="AA43" s="742"/>
    </row>
    <row r="44" spans="2:27" ht="14.25" customHeight="1">
      <c r="B44" s="666"/>
      <c r="C44" s="666"/>
      <c r="D44" s="666"/>
      <c r="E44" s="666"/>
      <c r="F44" s="666"/>
      <c r="G44" s="666"/>
      <c r="H44" s="666"/>
      <c r="I44" s="666"/>
      <c r="J44" s="666"/>
      <c r="K44" s="666"/>
      <c r="L44" s="666"/>
      <c r="O44" s="728"/>
      <c r="P44" s="614" t="str">
        <f>IF(C21&gt;=65,(IF(AND(3300000&lt;=F21,F21&lt;4100000),ROUNDDOWN(F21*0.75-275000,0),"")),"")</f>
        <v/>
      </c>
      <c r="Q44" s="615" t="str">
        <f>IF(C22&gt;=65,(IF(AND(3300000&lt;=F22,F22&lt;4100000),ROUNDDOWN(F22*0.75-275000,0),"")),"")</f>
        <v/>
      </c>
      <c r="R44" s="615" t="str">
        <f>IF(C23&gt;=65,(IF(AND(3300000&lt;=F23,F23&lt;4100000),ROUNDDOWN(F23*0.75-275000,0),"")),"")</f>
        <v/>
      </c>
      <c r="S44" s="615" t="str">
        <f>IF(C24&gt;=65,(IF(AND(3300000&lt;=F24,F24&lt;4100000),ROUNDDOWN(F24*0.75-275000,0),"")),"")</f>
        <v/>
      </c>
      <c r="T44" s="615" t="str">
        <f>IF(C25&gt;=65,(IF(AND(3300000&lt;=F25,F25&lt;4100000),ROUNDDOWN(F25*0.75-275000,0),"")),"")</f>
        <v/>
      </c>
      <c r="U44" s="615" t="str">
        <f>IF(C26&gt;=65,(IF(AND(3300000&lt;=F26,F26&lt;4100000),ROUNDDOWN(F26*0.75-275000,0),"")),"")</f>
        <v/>
      </c>
      <c r="V44" s="616" t="str">
        <f>IF(C27&gt;=65,(IF(AND(3300000&lt;=F27,F27&lt;4100000),ROUNDDOWN(F27*0.75-275000,0),"")),"")</f>
        <v/>
      </c>
      <c r="X44" s="748"/>
      <c r="Y44" s="622" t="s">
        <v>410</v>
      </c>
      <c r="Z44" s="661">
        <v>0.75</v>
      </c>
      <c r="AA44" s="616">
        <v>275000</v>
      </c>
    </row>
    <row r="45" spans="2:27" ht="14.25" customHeight="1">
      <c r="B45" s="666"/>
      <c r="C45" s="666"/>
      <c r="D45" s="666"/>
      <c r="E45" s="666"/>
      <c r="F45" s="666"/>
      <c r="G45" s="666"/>
      <c r="H45" s="666"/>
      <c r="I45" s="666"/>
      <c r="J45" s="666"/>
      <c r="K45" s="666"/>
      <c r="L45" s="666"/>
      <c r="O45" s="728"/>
      <c r="P45" s="614" t="str">
        <f>IF(C21&gt;=65,(IF(AND(4100000&lt;=F21,F21&lt;7700000),ROUNDDOWN(F21*0.85-685000,0),"")),"")</f>
        <v/>
      </c>
      <c r="Q45" s="615" t="str">
        <f>IF(C22&gt;=65,(IF(AND(4100000&lt;=F22,F22&lt;7700000),ROUNDDOWN(F22*0.85-685000,0),"")),"")</f>
        <v/>
      </c>
      <c r="R45" s="615" t="str">
        <f>IF(C23&gt;=65,(IF(AND(4100000&lt;=F23,F23&lt;7700000),ROUNDDOWN(F23*0.85-685000,0),"")),"")</f>
        <v/>
      </c>
      <c r="S45" s="615" t="str">
        <f>IF(C24&gt;=65,(IF(AND(4100000&lt;=F24,F24&lt;7700000),ROUNDDOWN(F24*0.85-685000,0),"")),"")</f>
        <v/>
      </c>
      <c r="T45" s="615" t="str">
        <f>IF(C25&gt;=65,(IF(AND(4100000&lt;=F25,F25&lt;7700000),ROUNDDOWN(F25*0.85-685000,0),"")),"")</f>
        <v/>
      </c>
      <c r="U45" s="615" t="str">
        <f>IF(C26&gt;=65,(IF(AND(4100000&lt;=F26,F26&lt;7700000),ROUNDDOWN(F26*0.85-685000,0),"")),"")</f>
        <v/>
      </c>
      <c r="V45" s="616" t="str">
        <f>IF(C27&gt;=65,(IF(AND(4100000&lt;=F27,F27&lt;7700000),ROUNDDOWN(F27*0.85-685000,0),"")),"")</f>
        <v/>
      </c>
      <c r="X45" s="748"/>
      <c r="Y45" s="622" t="s">
        <v>406</v>
      </c>
      <c r="Z45" s="661">
        <v>0.85</v>
      </c>
      <c r="AA45" s="616">
        <v>685000</v>
      </c>
    </row>
    <row r="46" spans="2:27" ht="14.25" customHeight="1">
      <c r="B46" s="666"/>
      <c r="C46" s="666"/>
      <c r="D46" s="666"/>
      <c r="E46" s="666"/>
      <c r="F46" s="666"/>
      <c r="G46" s="666"/>
      <c r="H46" s="666"/>
      <c r="I46" s="666"/>
      <c r="J46" s="666"/>
      <c r="K46" s="666"/>
      <c r="L46" s="666"/>
      <c r="O46" s="728"/>
      <c r="P46" s="614" t="str">
        <f>IF(C21&gt;=65,(IF(AND(7700000&lt;=F21,F21&lt;10000000),ROUNDDOWN(F21*0.95-1455000,0),"")),"")</f>
        <v/>
      </c>
      <c r="Q46" s="615" t="str">
        <f>IF(C22&gt;=65,(IF(AND(7700000&lt;=F22,F22&lt;10000000),ROUNDDOWN(F22*0.95-1455000,0),"")),"")</f>
        <v/>
      </c>
      <c r="R46" s="615" t="str">
        <f>IF(C23&gt;=65,(IF(AND(7700000&lt;=F23,F23&lt;10000000),ROUNDDOWN(F23*0.95-1455000,0),"")),"")</f>
        <v/>
      </c>
      <c r="S46" s="615" t="str">
        <f>IF(C24&gt;=65,(IF(AND(7700000&lt;=F24,F24&lt;10000000),ROUNDDOWN(F24*0.95-1455000,0),"")),"")</f>
        <v/>
      </c>
      <c r="T46" s="615" t="str">
        <f>IF(C25&gt;=65,(IF(AND(7700000&lt;=F25,F25&lt;10000000),ROUNDDOWN(F25*0.95-1455000,0),"")),"")</f>
        <v/>
      </c>
      <c r="U46" s="615" t="str">
        <f>IF(C26&gt;=65,(IF(AND(7700000&lt;=F26,F26&lt;10000000),ROUNDDOWN(F26*0.95-1455000,0),"")),"")</f>
        <v/>
      </c>
      <c r="V46" s="616" t="str">
        <f>IF(C27&gt;=65,(IF(AND(7700000&lt;=F27,F27&lt;10000000),ROUNDDOWN(F27*0.95-1455000,0),"")),"")</f>
        <v/>
      </c>
      <c r="X46" s="748"/>
      <c r="Y46" s="622" t="s">
        <v>407</v>
      </c>
      <c r="Z46" s="661">
        <v>0.95</v>
      </c>
      <c r="AA46" s="616">
        <v>1455000</v>
      </c>
    </row>
    <row r="47" spans="2:27" ht="14.25" customHeight="1">
      <c r="B47" s="666"/>
      <c r="C47" s="666"/>
      <c r="D47" s="666"/>
      <c r="E47" s="666"/>
      <c r="F47" s="666"/>
      <c r="G47" s="666"/>
      <c r="H47" s="666"/>
      <c r="I47" s="666"/>
      <c r="J47" s="666"/>
      <c r="K47" s="666"/>
      <c r="L47" s="666"/>
      <c r="O47" s="729"/>
      <c r="P47" s="634" t="str">
        <f>IF(C21&gt;=65,IF(F21&gt;=10000000,F21-1955000,""),"")</f>
        <v/>
      </c>
      <c r="Q47" s="635" t="str">
        <f>IF(C22&gt;=65,IF(F22&gt;=10000000,F22-1955000,""),"")</f>
        <v/>
      </c>
      <c r="R47" s="635" t="str">
        <f>IF(C23&gt;=65,IF(F23&gt;=10000000,F23-1955000,""),"")</f>
        <v/>
      </c>
      <c r="S47" s="635" t="str">
        <f>IF(C24&gt;=65,IF(F24&gt;=10000000,F24-1955000,""),"")</f>
        <v/>
      </c>
      <c r="T47" s="635" t="str">
        <f>IF(C25&gt;=65,IF(F25&gt;=10000000,F25-1955000,""),"")</f>
        <v/>
      </c>
      <c r="U47" s="635" t="str">
        <f>IF(C26&gt;=65,IF(F26&gt;=10000000,F26-1955000,""),"")</f>
        <v/>
      </c>
      <c r="V47" s="636" t="str">
        <f>IF(C27&gt;=65,IF(F27&gt;=10000000,F27-1955000,""),"")</f>
        <v/>
      </c>
      <c r="X47" s="749"/>
      <c r="Y47" s="637" t="s">
        <v>408</v>
      </c>
      <c r="Z47" s="667">
        <v>1</v>
      </c>
      <c r="AA47" s="636">
        <v>1955000</v>
      </c>
    </row>
    <row r="48" spans="2:27" ht="14.25" customHeight="1">
      <c r="B48" s="666"/>
      <c r="C48" s="666"/>
      <c r="D48" s="666"/>
      <c r="E48" s="666"/>
      <c r="F48" s="666"/>
      <c r="G48" s="666"/>
      <c r="H48" s="666"/>
      <c r="I48" s="666"/>
      <c r="J48" s="666"/>
      <c r="K48" s="666"/>
      <c r="L48" s="666"/>
      <c r="O48" s="668" t="s">
        <v>421</v>
      </c>
      <c r="P48" s="669">
        <f t="shared" ref="P48:V48" si="2">SUM(P36:P47)</f>
        <v>0</v>
      </c>
      <c r="Q48" s="670">
        <f t="shared" si="2"/>
        <v>0</v>
      </c>
      <c r="R48" s="670">
        <f t="shared" si="2"/>
        <v>0</v>
      </c>
      <c r="S48" s="670">
        <f t="shared" si="2"/>
        <v>0</v>
      </c>
      <c r="T48" s="670">
        <f t="shared" si="2"/>
        <v>0</v>
      </c>
      <c r="U48" s="670">
        <f t="shared" si="2"/>
        <v>0</v>
      </c>
      <c r="V48" s="671">
        <f t="shared" si="2"/>
        <v>0</v>
      </c>
    </row>
    <row r="49" spans="1:26" ht="14.25" customHeight="1">
      <c r="B49" s="666"/>
      <c r="C49" s="666"/>
      <c r="D49" s="666"/>
      <c r="E49" s="666"/>
      <c r="F49" s="666"/>
      <c r="G49" s="666"/>
      <c r="H49" s="666"/>
      <c r="I49" s="666"/>
      <c r="J49" s="666"/>
      <c r="K49" s="666"/>
      <c r="L49" s="666"/>
      <c r="O49" s="672" t="s">
        <v>422</v>
      </c>
      <c r="P49" s="673">
        <f>IF(AND(C21&gt;=65,P48&gt;0),IF(P48&lt;150000,0,P48-150000),P48)</f>
        <v>0</v>
      </c>
      <c r="Q49" s="674">
        <f>IF(AND(C22&gt;=65,Q48&gt;0),IF(Q48&lt;150000,0,Q48-150000),Q48)</f>
        <v>0</v>
      </c>
      <c r="R49" s="674">
        <f>IF(AND(C23&gt;=65,R48&gt;0),IF(R48&lt;150000,0,R48-150000),R48)</f>
        <v>0</v>
      </c>
      <c r="S49" s="674">
        <f>IF(AND(C24&gt;=65,S48&gt;0),IF(S48&lt;150000,0,S48-150000),S48)</f>
        <v>0</v>
      </c>
      <c r="T49" s="674">
        <f>IF(AND(C25&gt;=65,T48&gt;0),IF(T48&lt;150000,0,T48-150000),T48)</f>
        <v>0</v>
      </c>
      <c r="U49" s="674">
        <f>IF(AND(C26&gt;=65,U48&gt;0),IF(U48&lt;150000,0,U48-150000),U48)</f>
        <v>0</v>
      </c>
      <c r="V49" s="675">
        <f>IF(AND(C27&gt;=65,V48&gt;0),IF(V48&lt;150000,0,V48-150000),V48)</f>
        <v>0</v>
      </c>
    </row>
    <row r="50" spans="1:26" ht="14.25" customHeight="1">
      <c r="B50" s="666"/>
      <c r="C50" s="666"/>
      <c r="D50" s="666"/>
      <c r="E50" s="666"/>
      <c r="F50" s="666"/>
      <c r="G50" s="666"/>
      <c r="H50" s="666"/>
      <c r="I50" s="666"/>
      <c r="J50" s="666"/>
      <c r="K50" s="666"/>
      <c r="L50" s="666"/>
      <c r="O50" s="676"/>
      <c r="P50" s="677"/>
      <c r="Q50" s="677"/>
      <c r="R50" s="677"/>
      <c r="S50" s="677"/>
      <c r="T50" s="677"/>
      <c r="U50" s="677"/>
      <c r="V50" s="677"/>
    </row>
    <row r="51" spans="1:26" ht="14.25" customHeight="1">
      <c r="B51" s="666"/>
      <c r="C51" s="666"/>
      <c r="D51" s="666"/>
      <c r="E51" s="666"/>
      <c r="F51" s="666"/>
      <c r="G51" s="666"/>
      <c r="H51" s="666"/>
      <c r="I51" s="666"/>
      <c r="J51" s="666"/>
      <c r="K51" s="666"/>
      <c r="L51" s="666"/>
      <c r="O51" s="678" t="s">
        <v>457</v>
      </c>
      <c r="P51" s="679">
        <f>IF(P31&gt;0,1,0)</f>
        <v>0</v>
      </c>
      <c r="Q51" s="680">
        <f t="shared" ref="Q51:V51" si="3">IF(Q31&gt;0,1,0)</f>
        <v>0</v>
      </c>
      <c r="R51" s="680">
        <f t="shared" si="3"/>
        <v>0</v>
      </c>
      <c r="S51" s="680">
        <f t="shared" si="3"/>
        <v>0</v>
      </c>
      <c r="T51" s="680">
        <f t="shared" si="3"/>
        <v>0</v>
      </c>
      <c r="U51" s="680">
        <f t="shared" si="3"/>
        <v>0</v>
      </c>
      <c r="V51" s="681">
        <f t="shared" si="3"/>
        <v>0</v>
      </c>
    </row>
    <row r="52" spans="1:26" ht="14.25" customHeight="1">
      <c r="O52" s="682" t="s">
        <v>434</v>
      </c>
      <c r="P52" s="614">
        <f>IF(P48&gt;0,1,0)</f>
        <v>0</v>
      </c>
      <c r="Q52" s="615">
        <f t="shared" ref="Q52:V53" si="4">IF(Q48&gt;0,1,0)</f>
        <v>0</v>
      </c>
      <c r="R52" s="615">
        <f t="shared" si="4"/>
        <v>0</v>
      </c>
      <c r="S52" s="615">
        <f t="shared" si="4"/>
        <v>0</v>
      </c>
      <c r="T52" s="615">
        <f t="shared" si="4"/>
        <v>0</v>
      </c>
      <c r="U52" s="615">
        <f t="shared" si="4"/>
        <v>0</v>
      </c>
      <c r="V52" s="616">
        <f t="shared" si="4"/>
        <v>0</v>
      </c>
      <c r="Z52" s="593">
        <v>0</v>
      </c>
    </row>
    <row r="53" spans="1:26">
      <c r="O53" s="682" t="s">
        <v>435</v>
      </c>
      <c r="P53" s="614">
        <f>IF(P49&gt;0,1,0)</f>
        <v>0</v>
      </c>
      <c r="Q53" s="615">
        <f t="shared" si="4"/>
        <v>0</v>
      </c>
      <c r="R53" s="615">
        <f t="shared" si="4"/>
        <v>0</v>
      </c>
      <c r="S53" s="615">
        <f t="shared" si="4"/>
        <v>0</v>
      </c>
      <c r="T53" s="615">
        <f t="shared" si="4"/>
        <v>0</v>
      </c>
      <c r="U53" s="615">
        <f t="shared" si="4"/>
        <v>0</v>
      </c>
      <c r="V53" s="616">
        <f t="shared" si="4"/>
        <v>0</v>
      </c>
    </row>
    <row r="54" spans="1:26">
      <c r="B54" s="683"/>
      <c r="N54" s="677"/>
      <c r="O54" s="682" t="s">
        <v>436</v>
      </c>
      <c r="P54" s="614">
        <f>P51+P52</f>
        <v>0</v>
      </c>
      <c r="Q54" s="615">
        <f t="shared" ref="Q54:V54" si="5">Q51+Q52</f>
        <v>0</v>
      </c>
      <c r="R54" s="615">
        <f t="shared" si="5"/>
        <v>0</v>
      </c>
      <c r="S54" s="615">
        <f t="shared" si="5"/>
        <v>0</v>
      </c>
      <c r="T54" s="615">
        <f t="shared" si="5"/>
        <v>0</v>
      </c>
      <c r="U54" s="615">
        <f t="shared" si="5"/>
        <v>0</v>
      </c>
      <c r="V54" s="616">
        <f t="shared" si="5"/>
        <v>0</v>
      </c>
      <c r="W54" s="677"/>
    </row>
    <row r="55" spans="1:26">
      <c r="O55" s="684" t="s">
        <v>437</v>
      </c>
      <c r="P55" s="634">
        <f t="shared" ref="P55:V55" si="6">P51+P53</f>
        <v>0</v>
      </c>
      <c r="Q55" s="635">
        <f t="shared" si="6"/>
        <v>0</v>
      </c>
      <c r="R55" s="635">
        <f t="shared" si="6"/>
        <v>0</v>
      </c>
      <c r="S55" s="635">
        <f t="shared" si="6"/>
        <v>0</v>
      </c>
      <c r="T55" s="635">
        <f t="shared" si="6"/>
        <v>0</v>
      </c>
      <c r="U55" s="635">
        <f t="shared" si="6"/>
        <v>0</v>
      </c>
      <c r="V55" s="636">
        <f t="shared" si="6"/>
        <v>0</v>
      </c>
    </row>
    <row r="56" spans="1:26">
      <c r="O56" s="685"/>
      <c r="P56" s="686"/>
      <c r="Q56" s="686"/>
      <c r="R56" s="686"/>
      <c r="S56" s="686"/>
      <c r="T56" s="686"/>
      <c r="U56" s="686"/>
      <c r="V56" s="686"/>
    </row>
    <row r="57" spans="1:26" ht="17.25">
      <c r="B57" s="594" t="s">
        <v>453</v>
      </c>
      <c r="O57" s="678" t="s">
        <v>430</v>
      </c>
      <c r="P57" s="687">
        <f>P32+P48+H21</f>
        <v>0</v>
      </c>
      <c r="Q57" s="688">
        <f>Q32+Q48+H22</f>
        <v>0</v>
      </c>
      <c r="R57" s="688">
        <f>R32+R48+H23</f>
        <v>0</v>
      </c>
      <c r="S57" s="688">
        <f>S32+S48+H24</f>
        <v>0</v>
      </c>
      <c r="T57" s="688">
        <f>T32+T48+H25</f>
        <v>0</v>
      </c>
      <c r="U57" s="688">
        <f>U32+U48+H26</f>
        <v>0</v>
      </c>
      <c r="V57" s="689">
        <f>V32+V48+H27</f>
        <v>0</v>
      </c>
    </row>
    <row r="58" spans="1:26">
      <c r="O58" s="684" t="s">
        <v>432</v>
      </c>
      <c r="P58" s="634">
        <f>IF(P48=P49,MAX(P57,0),IF(AND(P54=2,P48&gt;=250000),MAX(P57-150000,0),IF(AND(P54=2,P48&gt;0,P48&lt;250000),MAX(P31+H21,0),IF(AND(P54=1,P48&gt;=150000),MAX(P57-150000,0),IF(AND(P54=1,P48&gt;0,P48&lt;150000),MAX(P31+H21,0),0)))))</f>
        <v>0</v>
      </c>
      <c r="Q58" s="635">
        <f>IF(Q48=Q49,MAX(Q57,0),IF(AND(Q54=2,Q48&gt;=250000),MAX(Q57-150000,0),IF(AND(Q54=2,Q48&gt;0,Q48&lt;250000),MAX(Q31+H22,0),IF(AND(Q54=1,Q48&gt;=150000),MAX(Q57-150000,0),IF(AND(Q54=1,Q48&gt;0,Q48&lt;150000),MAX(Q31+H22,0),0)))))</f>
        <v>0</v>
      </c>
      <c r="R58" s="635">
        <f>IF(R48=R49,MAX(R57,0),IF(AND(R54=2,R48&gt;=250000),MAX(R57-150000,0),IF(AND(R54=2,R48&gt;0,R48&lt;250000),MAX(R31+H23,0),IF(AND(R54=1,R48&gt;=150000),MAX(R57-150000,0),IF(AND(R54=1,R48&gt;0,R48&lt;150000),MAX(R31+H23,0),0)))))</f>
        <v>0</v>
      </c>
      <c r="S58" s="635">
        <f>IF(S48=S49,MAX(S57,0),IF(AND(S54=2,S48&gt;=250000),MAX(S57-150000,0),IF(AND(S54=2,S48&gt;0,S48&lt;250000),MAX(S31+H24,0),IF(AND(S54=1,S48&gt;=150000),MAX(S57-150000,0),IF(AND(S54=1,S48&gt;0,S48&lt;150000),MAX(S31+H24,0),0)))))</f>
        <v>0</v>
      </c>
      <c r="T58" s="635">
        <f>IF(T48=T49,MAX(T57,0),IF(AND(T54=2,T48&gt;=250000),MAX(T57-150000,0),IF(AND(T54=2,T48&gt;0,T48&lt;250000),MAX(T31+H25,0),IF(AND(T54=1,T48&gt;=150000),MAX(T57-150000,0),IF(AND(T54=1,T48&gt;0,T48&lt;150000),MAX(T31+H25,0),0)))))</f>
        <v>0</v>
      </c>
      <c r="U58" s="635">
        <f>IF(U48=U49,MAX(U57,0),IF(AND(U54=2,U48&gt;=250000),MAX(U57-150000,0),IF(AND(U54=2,U48&gt;0,U48&lt;250000),MAX(U31+H26,0),IF(AND(U54=1,U48&gt;=150000),MAX(U57-150000,0),IF(AND(U54=1,U48&gt;0,U48&lt;150000),MAX(U31+H26,0),0)))))</f>
        <v>0</v>
      </c>
      <c r="V58" s="636">
        <f>IF(V48=V49,MAX(V57,0),IF(AND(V54=2,V48&gt;=250000),MAX(V57-150000,0),IF(AND(V54=2,V48&gt;0,V48&lt;250000),MAX(V31+H27,0),IF(AND(V54=1,V48&gt;=150000),MAX(V57-150000,0),IF(AND(V54=1,V48&gt;0,V48&lt;150000),MAX(V31+H27,0),0)))))</f>
        <v>0</v>
      </c>
    </row>
    <row r="59" spans="1:26" ht="17.25" customHeight="1">
      <c r="A59" s="690" t="s">
        <v>454</v>
      </c>
      <c r="B59" s="596" t="s">
        <v>456</v>
      </c>
      <c r="G59" s="690" t="s">
        <v>454</v>
      </c>
      <c r="H59" s="596" t="s">
        <v>477</v>
      </c>
      <c r="I59" s="596"/>
    </row>
    <row r="60" spans="1:26" ht="14.25" customHeight="1">
      <c r="O60" s="593" t="s">
        <v>425</v>
      </c>
    </row>
    <row r="61" spans="1:26" ht="14.25" customHeight="1">
      <c r="O61" s="691" t="s">
        <v>423</v>
      </c>
      <c r="P61" s="692" t="s">
        <v>424</v>
      </c>
      <c r="Q61" s="693" t="s">
        <v>431</v>
      </c>
      <c r="R61" s="694" t="s">
        <v>429</v>
      </c>
      <c r="T61" s="695" t="s">
        <v>426</v>
      </c>
      <c r="U61" s="696" t="s">
        <v>427</v>
      </c>
      <c r="V61" s="697" t="s">
        <v>428</v>
      </c>
    </row>
    <row r="62" spans="1:26" ht="14.25" customHeight="1">
      <c r="O62" s="634">
        <f>COUNT(C21:C27)</f>
        <v>0</v>
      </c>
      <c r="P62" s="635">
        <f>IF(D15=1,O62,O62-1)</f>
        <v>-1</v>
      </c>
      <c r="Q62" s="698">
        <f>COUNTIF(P55:V55,"&gt;0")</f>
        <v>0</v>
      </c>
      <c r="R62" s="636">
        <f>SUM(P58:V58)</f>
        <v>0</v>
      </c>
      <c r="T62" s="634">
        <f>IF(Q62=0,430000,430000+100000*(Q62-1))</f>
        <v>430000</v>
      </c>
      <c r="U62" s="635">
        <f>IF(Q62=0,430000+305000*P62,430000+305000*P62+100000*(Q62-1))</f>
        <v>125000</v>
      </c>
      <c r="V62" s="636">
        <f>IF(Q62=0,430000+560000*P62,430000+560000*P62+100000*(Q62-1))</f>
        <v>-130000</v>
      </c>
    </row>
    <row r="63" spans="1:26" ht="14.25" customHeight="1"/>
    <row r="64" spans="1:26" ht="14.25" customHeight="1" thickBot="1"/>
    <row r="65" spans="1:16" ht="14.25" customHeight="1" thickBot="1">
      <c r="O65" s="699">
        <f>IF(R62&lt;=T62,7,IF(R62&lt;=U62,5,IF(R62&lt;=V62,2,0)))</f>
        <v>7</v>
      </c>
      <c r="P65" s="593" t="s">
        <v>433</v>
      </c>
    </row>
    <row r="66" spans="1:16" ht="14.25" customHeight="1"/>
    <row r="67" spans="1:16" ht="14.25" customHeight="1"/>
    <row r="68" spans="1:16" ht="14.25" customHeight="1"/>
    <row r="69" spans="1:16" ht="14.25" customHeight="1"/>
    <row r="70" spans="1:16" ht="14.25" customHeight="1"/>
    <row r="71" spans="1:16" ht="14.25" customHeight="1">
      <c r="O71" s="604"/>
    </row>
    <row r="72" spans="1:16" ht="14.25" customHeight="1">
      <c r="O72" s="604"/>
    </row>
    <row r="73" spans="1:16" ht="14.25" customHeight="1">
      <c r="O73" s="604"/>
    </row>
    <row r="74" spans="1:16" ht="14.25" customHeight="1"/>
    <row r="75" spans="1:16" ht="14.25" customHeight="1">
      <c r="A75" s="690" t="s">
        <v>455</v>
      </c>
      <c r="B75" s="596" t="s">
        <v>476</v>
      </c>
    </row>
    <row r="76" spans="1:16" ht="14.25" customHeight="1"/>
    <row r="77" spans="1:16" ht="14.25" customHeight="1">
      <c r="O77" s="604"/>
    </row>
    <row r="78" spans="1:16" ht="14.25" customHeight="1"/>
    <row r="79" spans="1:16" ht="14.25" customHeight="1">
      <c r="O79" s="604"/>
    </row>
    <row r="80" spans="1:16" ht="14.25" customHeight="1"/>
    <row r="81" spans="1:27" ht="14.25" customHeight="1"/>
    <row r="82" spans="1:27" ht="14.25" customHeight="1"/>
    <row r="83" spans="1:27" ht="14.25" customHeight="1"/>
    <row r="84" spans="1:27" ht="14.25" customHeight="1"/>
    <row r="85" spans="1:27" ht="14.25" customHeight="1"/>
    <row r="86" spans="1:27" ht="14.25" customHeight="1"/>
    <row r="87" spans="1:27" ht="14.25" customHeight="1"/>
    <row r="88" spans="1:27" ht="14.25" customHeight="1"/>
    <row r="89" spans="1:27" ht="14.25" customHeight="1"/>
    <row r="90" spans="1:27" ht="14.25" customHeight="1">
      <c r="X90" s="700"/>
      <c r="Y90" s="700"/>
      <c r="Z90" s="700"/>
      <c r="AA90" s="700"/>
    </row>
    <row r="91" spans="1:27" s="700" customFormat="1" ht="14.25" customHeight="1">
      <c r="A91" s="593"/>
      <c r="B91" s="701"/>
      <c r="C91" s="593"/>
      <c r="D91" s="593"/>
      <c r="E91" s="593"/>
      <c r="F91" s="593"/>
      <c r="G91" s="593"/>
      <c r="H91" s="593"/>
      <c r="I91" s="593"/>
      <c r="J91" s="593"/>
      <c r="K91" s="593"/>
      <c r="L91" s="593"/>
      <c r="M91" s="593"/>
    </row>
    <row r="92" spans="1:27" s="700" customFormat="1" ht="14.25" customHeight="1">
      <c r="A92" s="702"/>
    </row>
    <row r="93" spans="1:27" s="700" customFormat="1" ht="14.25" customHeight="1">
      <c r="X93" s="593"/>
      <c r="Y93" s="593"/>
      <c r="Z93" s="593"/>
      <c r="AA93" s="593"/>
    </row>
    <row r="94" spans="1:27" ht="14.25" customHeight="1">
      <c r="A94" s="700"/>
      <c r="B94" s="700"/>
      <c r="C94" s="700"/>
      <c r="D94" s="700"/>
      <c r="E94" s="700"/>
      <c r="F94" s="700"/>
      <c r="G94" s="700"/>
      <c r="H94" s="700"/>
      <c r="I94" s="700"/>
      <c r="J94" s="700"/>
      <c r="K94" s="700"/>
      <c r="L94" s="700"/>
      <c r="M94" s="700"/>
    </row>
    <row r="95" spans="1:27" ht="14.25" customHeight="1">
      <c r="B95" s="604"/>
      <c r="X95" s="700"/>
      <c r="Y95" s="700"/>
      <c r="Z95" s="700"/>
      <c r="AA95" s="700"/>
    </row>
    <row r="96" spans="1:27" s="700" customFormat="1" ht="14.25" customHeight="1">
      <c r="A96" s="593"/>
      <c r="B96" s="701"/>
      <c r="C96" s="593"/>
      <c r="D96" s="593"/>
      <c r="E96" s="593"/>
      <c r="F96" s="593"/>
      <c r="G96" s="593"/>
      <c r="H96" s="593"/>
      <c r="I96" s="593"/>
      <c r="J96" s="593"/>
      <c r="K96" s="593"/>
      <c r="L96" s="593"/>
      <c r="M96" s="593"/>
    </row>
    <row r="97" spans="1:27" s="700" customFormat="1" ht="14.25" customHeight="1">
      <c r="B97" s="703"/>
    </row>
    <row r="98" spans="1:27" s="700" customFormat="1" ht="14.25" customHeight="1"/>
    <row r="99" spans="1:27" s="700" customFormat="1" ht="14.25" customHeight="1">
      <c r="X99" s="593"/>
      <c r="Y99" s="593"/>
      <c r="Z99" s="593"/>
      <c r="AA99" s="593"/>
    </row>
    <row r="100" spans="1:27" ht="14.25" customHeight="1">
      <c r="A100" s="700"/>
      <c r="B100" s="700"/>
      <c r="C100" s="700"/>
      <c r="D100" s="700"/>
      <c r="E100" s="700"/>
      <c r="F100" s="700"/>
      <c r="G100" s="700"/>
      <c r="H100" s="700"/>
      <c r="I100" s="700"/>
      <c r="J100" s="700"/>
      <c r="K100" s="700"/>
      <c r="L100" s="700"/>
      <c r="M100" s="700"/>
    </row>
    <row r="101" spans="1:27" ht="14.25" customHeight="1">
      <c r="X101" s="700"/>
      <c r="Y101" s="700"/>
      <c r="Z101" s="700"/>
      <c r="AA101" s="700"/>
    </row>
    <row r="102" spans="1:27" s="700" customFormat="1" ht="14.25" customHeight="1">
      <c r="A102" s="593"/>
      <c r="B102" s="701"/>
      <c r="C102" s="593"/>
      <c r="D102" s="593"/>
      <c r="E102" s="593"/>
      <c r="F102" s="593"/>
      <c r="G102" s="593"/>
      <c r="H102" s="593"/>
      <c r="I102" s="593"/>
      <c r="J102" s="593"/>
      <c r="K102" s="593"/>
      <c r="L102" s="593"/>
      <c r="M102" s="593"/>
    </row>
    <row r="103" spans="1:27" s="700" customFormat="1" ht="14.25" customHeight="1"/>
    <row r="104" spans="1:27" s="700" customFormat="1" ht="14.25" customHeight="1">
      <c r="X104" s="593"/>
      <c r="Y104" s="593"/>
      <c r="Z104" s="593"/>
      <c r="AA104" s="593"/>
    </row>
    <row r="105" spans="1:27" ht="14.25" customHeight="1">
      <c r="A105" s="700"/>
      <c r="B105" s="700"/>
      <c r="C105" s="700"/>
      <c r="D105" s="700"/>
      <c r="E105" s="700"/>
      <c r="F105" s="700"/>
      <c r="G105" s="700"/>
      <c r="H105" s="700"/>
      <c r="I105" s="700"/>
      <c r="J105" s="700"/>
      <c r="K105" s="700"/>
      <c r="L105" s="700"/>
      <c r="M105" s="700"/>
    </row>
    <row r="106" spans="1:27" ht="14.25" customHeight="1"/>
    <row r="107" spans="1:27" ht="16.5" customHeight="1"/>
    <row r="108" spans="1:27" ht="14.25" customHeight="1">
      <c r="B108" s="594"/>
      <c r="X108" s="700"/>
      <c r="Y108" s="700"/>
      <c r="Z108" s="700"/>
      <c r="AA108" s="700"/>
    </row>
    <row r="109" spans="1:27" s="700" customFormat="1" ht="14.25" customHeight="1">
      <c r="A109" s="593"/>
      <c r="B109" s="593"/>
      <c r="C109" s="593"/>
      <c r="D109" s="593"/>
      <c r="E109" s="593"/>
      <c r="F109" s="593"/>
      <c r="G109" s="593"/>
      <c r="H109" s="593"/>
      <c r="I109" s="593"/>
      <c r="J109" s="593"/>
      <c r="K109" s="593"/>
      <c r="L109" s="593"/>
      <c r="M109" s="593"/>
      <c r="X109" s="593"/>
      <c r="Y109" s="593"/>
      <c r="Z109" s="593"/>
      <c r="AA109" s="593"/>
    </row>
    <row r="110" spans="1:27" ht="14.25" customHeight="1">
      <c r="A110" s="700"/>
      <c r="B110" s="702"/>
      <c r="C110" s="700"/>
      <c r="D110" s="700"/>
      <c r="E110" s="700"/>
      <c r="F110" s="700"/>
      <c r="G110" s="700"/>
      <c r="H110" s="700"/>
      <c r="I110" s="700"/>
      <c r="J110" s="700"/>
      <c r="K110" s="700"/>
      <c r="L110" s="700"/>
      <c r="M110" s="700"/>
    </row>
    <row r="111" spans="1:27" ht="14.25" customHeight="1"/>
    <row r="112" spans="1:27" ht="14.25" customHeight="1"/>
    <row r="113" ht="14.25" hidden="1" customHeight="1"/>
    <row r="114" ht="14.25" hidden="1" customHeight="1"/>
    <row r="115" hidden="1"/>
    <row r="116" hidden="1"/>
    <row r="117" hidden="1"/>
    <row r="118" hidden="1"/>
    <row r="119" hidden="1"/>
    <row r="120" hidden="1"/>
    <row r="121" hidden="1"/>
    <row r="122" hidden="1"/>
    <row r="123" hidden="1"/>
    <row r="124" hidden="1"/>
    <row r="125" hidden="1"/>
    <row r="126" hidden="1"/>
    <row r="127" hidden="1"/>
    <row r="128" hidden="1"/>
    <row r="129" spans="3:4" hidden="1"/>
    <row r="130" spans="3:4" hidden="1"/>
    <row r="131" spans="3:4" hidden="1"/>
    <row r="132" spans="3:4" hidden="1"/>
    <row r="133" spans="3:4" ht="14.25" hidden="1" thickBot="1">
      <c r="C133" s="593" t="s">
        <v>449</v>
      </c>
    </row>
    <row r="134" spans="3:4" ht="15" hidden="1" thickTop="1">
      <c r="C134" s="598" t="s">
        <v>365</v>
      </c>
      <c r="D134" s="704">
        <v>1</v>
      </c>
    </row>
    <row r="135" spans="3:4" ht="15" hidden="1" thickBot="1">
      <c r="C135" s="599" t="s">
        <v>366</v>
      </c>
      <c r="D135" s="705"/>
    </row>
    <row r="136" spans="3:4" ht="14.25" hidden="1" thickTop="1"/>
  </sheetData>
  <sheetProtection sheet="1" objects="1" scenarios="1" selectLockedCells="1"/>
  <protectedRanges>
    <protectedRange sqref="C21:I27" name="範囲1"/>
  </protectedRanges>
  <mergeCells count="63">
    <mergeCell ref="A1:M1"/>
    <mergeCell ref="I32:J33"/>
    <mergeCell ref="I34:J37"/>
    <mergeCell ref="F19:G19"/>
    <mergeCell ref="H19:I19"/>
    <mergeCell ref="D28:E28"/>
    <mergeCell ref="F28:G28"/>
    <mergeCell ref="H28:I28"/>
    <mergeCell ref="F27:G27"/>
    <mergeCell ref="H25:I25"/>
    <mergeCell ref="H24:I24"/>
    <mergeCell ref="H26:I26"/>
    <mergeCell ref="F26:G26"/>
    <mergeCell ref="F20:G20"/>
    <mergeCell ref="K34:K37"/>
    <mergeCell ref="K32:L33"/>
    <mergeCell ref="H20:I20"/>
    <mergeCell ref="H21:I21"/>
    <mergeCell ref="H22:I22"/>
    <mergeCell ref="F21:G21"/>
    <mergeCell ref="F22:G22"/>
    <mergeCell ref="AA36:AA37"/>
    <mergeCell ref="B32:C33"/>
    <mergeCell ref="B34:C35"/>
    <mergeCell ref="B36:C37"/>
    <mergeCell ref="K38:L38"/>
    <mergeCell ref="B38:C39"/>
    <mergeCell ref="D32:F33"/>
    <mergeCell ref="D34:F35"/>
    <mergeCell ref="D36:F37"/>
    <mergeCell ref="D38:F39"/>
    <mergeCell ref="L35:L36"/>
    <mergeCell ref="Y42:Y43"/>
    <mergeCell ref="Z42:Z43"/>
    <mergeCell ref="AA42:AA43"/>
    <mergeCell ref="O36:O41"/>
    <mergeCell ref="D19:E19"/>
    <mergeCell ref="X42:X47"/>
    <mergeCell ref="Y36:Y37"/>
    <mergeCell ref="Z36:Z37"/>
    <mergeCell ref="Z20:AA20"/>
    <mergeCell ref="Z22:AA22"/>
    <mergeCell ref="Z23:AA23"/>
    <mergeCell ref="Z24:AA24"/>
    <mergeCell ref="Z25:AA25"/>
    <mergeCell ref="Z30:AA30"/>
    <mergeCell ref="D20:E20"/>
    <mergeCell ref="D21:E21"/>
    <mergeCell ref="D22:E22"/>
    <mergeCell ref="D23:E23"/>
    <mergeCell ref="D24:E24"/>
    <mergeCell ref="D25:E25"/>
    <mergeCell ref="X22:X25"/>
    <mergeCell ref="F23:G23"/>
    <mergeCell ref="F24:G24"/>
    <mergeCell ref="H23:I23"/>
    <mergeCell ref="F25:G25"/>
    <mergeCell ref="X26:X28"/>
    <mergeCell ref="X29:X30"/>
    <mergeCell ref="O42:O47"/>
    <mergeCell ref="D26:E26"/>
    <mergeCell ref="D27:E27"/>
    <mergeCell ref="H27:I27"/>
  </mergeCells>
  <phoneticPr fontId="2"/>
  <pageMargins left="0.23622047244094491" right="0.23622047244094491" top="0.74803149606299213" bottom="0.74803149606299213" header="0.31496062992125984" footer="0.31496062992125984"/>
  <pageSetup paperSize="9" scale="95" orientation="portrait" r:id="rId1"/>
  <rowBreaks count="1" manualBreakCount="1">
    <brk id="53" max="2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S88"/>
  <sheetViews>
    <sheetView showGridLines="0" showZeros="0" view="pageBreakPreview" zoomScale="75" zoomScaleNormal="75" zoomScaleSheetLayoutView="75" workbookViewId="0">
      <pane ySplit="11" topLeftCell="A60" activePane="bottomLeft" state="frozen"/>
      <selection activeCell="E76" sqref="E76:F76"/>
      <selection pane="bottomLeft" activeCell="E64" sqref="E64:F64"/>
    </sheetView>
  </sheetViews>
  <sheetFormatPr defaultColWidth="8.875" defaultRowHeight="17.25"/>
  <cols>
    <col min="1" max="1" width="6.25" style="3" customWidth="1"/>
    <col min="2" max="2" width="8.125" style="3" customWidth="1"/>
    <col min="3" max="3" width="4.125" style="3" customWidth="1"/>
    <col min="4" max="4" width="13" style="3" customWidth="1"/>
    <col min="5" max="5" width="4.375" style="3" customWidth="1"/>
    <col min="6" max="6" width="9.875" style="3" customWidth="1"/>
    <col min="7" max="8" width="4.5" style="3" customWidth="1"/>
    <col min="9" max="9" width="8.875" style="9" customWidth="1"/>
    <col min="10" max="10" width="2" style="3" customWidth="1"/>
    <col min="11" max="11" width="4.25" style="3" customWidth="1"/>
    <col min="12" max="12" width="5.5" style="3" customWidth="1"/>
    <col min="13" max="13" width="5" style="3" customWidth="1"/>
    <col min="14" max="14" width="4.875" style="3" customWidth="1"/>
    <col min="15" max="15" width="6.125" style="10" customWidth="1"/>
    <col min="16" max="16" width="4.75" style="10" customWidth="1"/>
    <col min="17" max="17" width="8.375" style="3" customWidth="1"/>
    <col min="18" max="18" width="3.25" style="3" customWidth="1"/>
    <col min="19" max="19" width="11.625" style="3" bestFit="1" customWidth="1"/>
    <col min="20" max="20" width="5.625" style="3" customWidth="1"/>
    <col min="21" max="21" width="15.375" style="3" customWidth="1"/>
    <col min="22" max="22" width="12.375" style="3" customWidth="1"/>
    <col min="23" max="23" width="15.75" style="3" customWidth="1"/>
    <col min="24" max="24" width="5.375" style="3" customWidth="1"/>
    <col min="25" max="26" width="12.375" style="3" customWidth="1"/>
    <col min="27" max="27" width="9.875" style="3" customWidth="1"/>
    <col min="28" max="28" width="9.125" style="3" customWidth="1"/>
    <col min="29" max="33" width="13" style="3" customWidth="1"/>
    <col min="34" max="34" width="10.875" style="2" customWidth="1"/>
    <col min="35" max="35" width="10.375" style="2" customWidth="1"/>
    <col min="36" max="38" width="10.5" style="2" customWidth="1"/>
    <col min="39" max="39" width="8.875" style="2" customWidth="1"/>
    <col min="40" max="40" width="11.125" style="2" customWidth="1"/>
    <col min="41" max="41" width="10.25" style="2" customWidth="1"/>
    <col min="42" max="44" width="12" style="2" customWidth="1"/>
    <col min="45" max="16384" width="8.875" style="3"/>
  </cols>
  <sheetData>
    <row r="1" spans="1:44" ht="24" customHeight="1">
      <c r="B1" s="210"/>
      <c r="C1" s="210"/>
      <c r="D1" s="210"/>
      <c r="E1" s="963" t="s">
        <v>86</v>
      </c>
      <c r="F1" s="963"/>
      <c r="G1" s="963"/>
      <c r="H1" s="963"/>
      <c r="I1" s="963"/>
      <c r="J1" s="963"/>
      <c r="K1" s="963"/>
      <c r="L1" s="963"/>
      <c r="M1" s="963"/>
      <c r="N1" s="963"/>
      <c r="O1" s="963"/>
      <c r="P1" s="963"/>
      <c r="Q1" s="210"/>
      <c r="R1" s="210"/>
      <c r="S1" s="210"/>
      <c r="T1" s="210"/>
      <c r="U1" s="150" t="s">
        <v>84</v>
      </c>
      <c r="V1" s="38"/>
      <c r="W1" s="38"/>
      <c r="X1" s="38"/>
      <c r="Y1" s="38"/>
      <c r="Z1" s="38"/>
      <c r="AA1" s="38"/>
      <c r="AB1" s="141"/>
      <c r="AC1" s="12"/>
      <c r="AD1" s="12"/>
      <c r="AE1" s="12"/>
      <c r="AF1" s="12"/>
      <c r="AG1" s="12"/>
    </row>
    <row r="2" spans="1:44" ht="24" customHeight="1">
      <c r="A2" s="210"/>
      <c r="B2" s="210"/>
      <c r="C2" s="210"/>
      <c r="D2" s="210"/>
      <c r="E2" s="963"/>
      <c r="F2" s="963"/>
      <c r="G2" s="963"/>
      <c r="H2" s="963"/>
      <c r="I2" s="963"/>
      <c r="J2" s="963"/>
      <c r="K2" s="963"/>
      <c r="L2" s="963"/>
      <c r="M2" s="963"/>
      <c r="N2" s="963"/>
      <c r="O2" s="963"/>
      <c r="P2" s="963"/>
      <c r="Q2" s="210"/>
      <c r="R2" s="210"/>
      <c r="S2" s="210"/>
      <c r="T2" s="210"/>
      <c r="U2" s="217" t="s">
        <v>346</v>
      </c>
      <c r="V2" s="12"/>
      <c r="W2" s="12"/>
      <c r="X2" s="12"/>
      <c r="Y2" s="12"/>
      <c r="Z2" s="12"/>
      <c r="AA2" s="12"/>
      <c r="AB2" s="53"/>
      <c r="AC2" s="12"/>
      <c r="AD2" s="12"/>
      <c r="AE2" s="12"/>
      <c r="AF2" s="12"/>
      <c r="AG2" s="12"/>
    </row>
    <row r="3" spans="1:44" ht="24" customHeight="1">
      <c r="A3" s="968">
        <f>'合計（印刷）'!A1:X1</f>
        <v>0</v>
      </c>
      <c r="B3" s="968"/>
      <c r="C3" s="968"/>
      <c r="D3" s="968"/>
      <c r="E3" s="968"/>
      <c r="F3" s="968"/>
      <c r="G3" s="968"/>
      <c r="H3" s="968"/>
      <c r="I3" s="968"/>
      <c r="J3" s="968"/>
      <c r="K3" s="968"/>
      <c r="L3" s="968"/>
      <c r="M3" s="968"/>
      <c r="N3" s="968"/>
      <c r="O3" s="968"/>
      <c r="P3" s="968"/>
      <c r="Q3" s="968"/>
      <c r="R3" s="968"/>
      <c r="S3" s="968"/>
      <c r="T3" s="968"/>
      <c r="U3" s="568" t="s">
        <v>471</v>
      </c>
      <c r="V3" s="12"/>
      <c r="W3" s="12"/>
      <c r="X3" s="12"/>
      <c r="Y3" s="12"/>
      <c r="Z3" s="12"/>
      <c r="AA3" s="12"/>
      <c r="AB3" s="53"/>
      <c r="AC3" s="12"/>
      <c r="AD3" s="12"/>
      <c r="AE3" s="12"/>
      <c r="AF3" s="12"/>
      <c r="AG3" s="12"/>
    </row>
    <row r="4" spans="1:44" ht="24" customHeight="1" thickBot="1">
      <c r="A4" s="968"/>
      <c r="B4" s="968"/>
      <c r="C4" s="968"/>
      <c r="D4" s="968"/>
      <c r="E4" s="968"/>
      <c r="F4" s="968"/>
      <c r="G4" s="968"/>
      <c r="H4" s="968"/>
      <c r="I4" s="968"/>
      <c r="J4" s="968"/>
      <c r="K4" s="968"/>
      <c r="L4" s="968"/>
      <c r="M4" s="968"/>
      <c r="N4" s="968"/>
      <c r="O4" s="968"/>
      <c r="P4" s="968"/>
      <c r="Q4" s="968"/>
      <c r="R4" s="968"/>
      <c r="S4" s="968"/>
      <c r="T4" s="968"/>
      <c r="U4" s="567" t="s">
        <v>472</v>
      </c>
      <c r="V4" s="52"/>
      <c r="W4" s="52"/>
      <c r="X4" s="52"/>
      <c r="Y4" s="52"/>
      <c r="Z4" s="52"/>
      <c r="AA4" s="52"/>
      <c r="AB4" s="64"/>
      <c r="AC4" s="12"/>
      <c r="AD4" s="12"/>
      <c r="AE4" s="12"/>
      <c r="AF4" s="12"/>
      <c r="AG4" s="12"/>
    </row>
    <row r="5" spans="1:44" ht="19.5" customHeight="1" thickTop="1" thickBot="1">
      <c r="A5" s="155" t="s">
        <v>73</v>
      </c>
      <c r="M5" s="895" t="s">
        <v>91</v>
      </c>
      <c r="N5" s="896"/>
      <c r="O5" s="896"/>
      <c r="P5" s="897"/>
      <c r="Q5" s="900"/>
      <c r="R5" s="901"/>
      <c r="S5" s="901"/>
      <c r="T5" s="898" t="s">
        <v>6</v>
      </c>
      <c r="U5" s="916" t="s">
        <v>348</v>
      </c>
      <c r="V5" s="917"/>
      <c r="W5" s="917"/>
      <c r="X5" s="917"/>
      <c r="Y5" s="917"/>
      <c r="Z5" s="917"/>
      <c r="AA5" s="917"/>
      <c r="AB5" s="917"/>
    </row>
    <row r="6" spans="1:44" ht="25.5" customHeight="1">
      <c r="A6" s="155" t="s">
        <v>106</v>
      </c>
      <c r="M6" s="940" t="s">
        <v>90</v>
      </c>
      <c r="N6" s="941"/>
      <c r="O6" s="941"/>
      <c r="P6" s="942"/>
      <c r="Q6" s="902"/>
      <c r="R6" s="903"/>
      <c r="S6" s="903"/>
      <c r="T6" s="899"/>
      <c r="U6" s="918"/>
      <c r="V6" s="919"/>
      <c r="W6" s="919"/>
      <c r="X6" s="919"/>
      <c r="Y6" s="919"/>
      <c r="Z6" s="919"/>
      <c r="AA6" s="919"/>
      <c r="AB6" s="919"/>
      <c r="AG6" s="928" t="s">
        <v>79</v>
      </c>
      <c r="AH6" s="929"/>
      <c r="AI6" s="929"/>
      <c r="AJ6" s="929"/>
      <c r="AK6" s="929"/>
      <c r="AL6" s="929"/>
      <c r="AM6" s="929"/>
      <c r="AN6" s="930"/>
      <c r="AO6" s="149"/>
      <c r="AP6" s="149"/>
      <c r="AQ6" s="149"/>
      <c r="AR6" s="149"/>
    </row>
    <row r="7" spans="1:44" ht="25.5" customHeight="1">
      <c r="A7" s="964" t="s">
        <v>337</v>
      </c>
      <c r="B7" s="964"/>
      <c r="C7" s="964"/>
      <c r="D7" s="964"/>
      <c r="E7" s="964"/>
      <c r="F7" s="964"/>
      <c r="G7" s="964"/>
      <c r="H7" s="964"/>
      <c r="I7" s="964"/>
      <c r="J7" s="964"/>
      <c r="K7" s="964"/>
      <c r="L7" s="965"/>
      <c r="M7" s="943"/>
      <c r="N7" s="855"/>
      <c r="O7" s="906" t="s">
        <v>99</v>
      </c>
      <c r="P7" s="907"/>
      <c r="Q7" s="908"/>
      <c r="R7" s="912"/>
      <c r="S7" s="912"/>
      <c r="T7" s="913"/>
      <c r="U7" s="918"/>
      <c r="V7" s="919"/>
      <c r="W7" s="919"/>
      <c r="X7" s="919"/>
      <c r="Y7" s="919"/>
      <c r="Z7" s="919"/>
      <c r="AA7" s="919"/>
      <c r="AB7" s="919"/>
      <c r="AG7" s="931"/>
      <c r="AH7" s="932"/>
      <c r="AI7" s="932"/>
      <c r="AJ7" s="932"/>
      <c r="AK7" s="932"/>
      <c r="AL7" s="932"/>
      <c r="AM7" s="932"/>
      <c r="AN7" s="933"/>
      <c r="AO7" s="149"/>
      <c r="AP7" s="149"/>
      <c r="AQ7" s="149"/>
      <c r="AR7" s="149"/>
    </row>
    <row r="8" spans="1:44" ht="25.5" customHeight="1" thickBot="1">
      <c r="A8" s="964" t="s">
        <v>338</v>
      </c>
      <c r="B8" s="964"/>
      <c r="C8" s="964"/>
      <c r="D8" s="964"/>
      <c r="E8" s="964"/>
      <c r="F8" s="964"/>
      <c r="G8" s="964"/>
      <c r="H8" s="964"/>
      <c r="I8" s="964"/>
      <c r="J8" s="964"/>
      <c r="K8" s="964"/>
      <c r="L8" s="965"/>
      <c r="M8" s="904"/>
      <c r="N8" s="905"/>
      <c r="O8" s="909" t="s">
        <v>100</v>
      </c>
      <c r="P8" s="910"/>
      <c r="Q8" s="911"/>
      <c r="R8" s="944"/>
      <c r="S8" s="944"/>
      <c r="T8" s="945"/>
      <c r="U8" s="918"/>
      <c r="V8" s="919"/>
      <c r="W8" s="919"/>
      <c r="X8" s="919"/>
      <c r="Y8" s="919"/>
      <c r="Z8" s="919"/>
      <c r="AA8" s="919"/>
      <c r="AB8" s="919"/>
      <c r="AG8" s="931"/>
      <c r="AH8" s="932"/>
      <c r="AI8" s="932"/>
      <c r="AJ8" s="932"/>
      <c r="AK8" s="932"/>
      <c r="AL8" s="932"/>
      <c r="AM8" s="932"/>
      <c r="AN8" s="933"/>
      <c r="AO8" s="149"/>
      <c r="AP8" s="149"/>
      <c r="AQ8" s="149"/>
      <c r="AR8" s="149"/>
    </row>
    <row r="9" spans="1:44" ht="23.25" customHeight="1" thickTop="1" thickBot="1">
      <c r="A9" s="866" t="s">
        <v>60</v>
      </c>
      <c r="B9" s="867"/>
      <c r="C9" s="245" t="s">
        <v>61</v>
      </c>
      <c r="D9" s="876"/>
      <c r="E9" s="877"/>
      <c r="F9" s="169">
        <f>IF(G9=0,0,IF(G9=7,0,IF(G9=5,0,IF(G9=2,0,"誤り⇒"))))</f>
        <v>0</v>
      </c>
      <c r="G9" s="868">
        <f>Sheet1!O65</f>
        <v>7</v>
      </c>
      <c r="H9" s="869"/>
      <c r="I9" s="872" t="s">
        <v>23</v>
      </c>
      <c r="J9" s="872"/>
      <c r="K9" s="873"/>
      <c r="L9" s="530">
        <f>IF('医療分・支援・介護分（印刷））'!A265='医療分・支援・介護分（印刷））'!L265,"!！限度超過のため計算内訳計算不可能！！",IF('医療分・支援・介護分（印刷））'!A87='医療分・支援・介護分（印刷））'!L87,"限度超過のため内訳計算不可能！！",0))</f>
        <v>0</v>
      </c>
      <c r="M9" s="530"/>
      <c r="N9" s="530"/>
      <c r="O9" s="530"/>
      <c r="P9" s="530"/>
      <c r="Q9" s="530"/>
      <c r="R9" s="530"/>
      <c r="S9" s="530"/>
      <c r="T9" s="530"/>
      <c r="U9" s="934">
        <f>IF('医療分・支援・介護分（印刷））'!AH13&gt;0,"年度途中に異動あり、収納額算出不可能!",(IF(Q5='合計（印刷）'!B9,0,IF(入力画面!Q5='合計（印刷）'!B9:B11,0,"!！期割ごとの入金がされていない!！"))))</f>
        <v>0</v>
      </c>
      <c r="V9" s="934"/>
      <c r="W9" s="934"/>
      <c r="X9" s="935"/>
      <c r="AG9" s="931"/>
      <c r="AH9" s="932"/>
      <c r="AI9" s="932"/>
      <c r="AJ9" s="932"/>
      <c r="AK9" s="932"/>
      <c r="AL9" s="932"/>
      <c r="AM9" s="932"/>
      <c r="AN9" s="933"/>
    </row>
    <row r="10" spans="1:44" ht="23.25" customHeight="1" thickTop="1" thickBot="1">
      <c r="A10" s="12"/>
      <c r="B10" s="12"/>
      <c r="C10" s="12"/>
      <c r="D10" s="12"/>
      <c r="E10" s="12"/>
      <c r="G10" s="870"/>
      <c r="H10" s="871"/>
      <c r="I10" s="874"/>
      <c r="J10" s="874"/>
      <c r="K10" s="875"/>
      <c r="L10" s="531"/>
      <c r="M10" s="920" t="s">
        <v>327</v>
      </c>
      <c r="N10" s="921"/>
      <c r="O10" s="921"/>
      <c r="P10" s="922"/>
      <c r="Q10" s="922"/>
      <c r="R10" s="532" t="s">
        <v>328</v>
      </c>
      <c r="S10" s="531"/>
      <c r="T10" s="936" t="s">
        <v>297</v>
      </c>
      <c r="U10" s="937"/>
      <c r="V10" s="937"/>
      <c r="W10" s="565"/>
      <c r="X10" s="533" t="s">
        <v>4</v>
      </c>
      <c r="AG10" s="56"/>
      <c r="AH10" s="4"/>
      <c r="AI10" s="4"/>
      <c r="AJ10" s="4"/>
      <c r="AK10" s="4"/>
      <c r="AL10" s="4"/>
      <c r="AM10" s="4"/>
      <c r="AN10" s="151"/>
    </row>
    <row r="11" spans="1:44" ht="23.25" customHeight="1" thickTop="1" thickBot="1">
      <c r="A11" s="717" t="s">
        <v>85</v>
      </c>
      <c r="B11" s="717"/>
      <c r="C11" s="717"/>
      <c r="D11" s="717"/>
      <c r="E11" s="718" t="s">
        <v>470</v>
      </c>
      <c r="F11" s="12"/>
      <c r="G11" s="12"/>
      <c r="H11" s="12"/>
      <c r="I11" s="50"/>
      <c r="J11" s="12"/>
      <c r="K11" s="12"/>
      <c r="L11" s="531">
        <f>IF('医療分・支援・介護分（印刷））'!AG6+'医療分・支援・介護分（印刷））'!AG184&gt;0,"!！限度超過のため期割計算不可能!!",0)</f>
        <v>0</v>
      </c>
      <c r="M11" s="531"/>
      <c r="N11" s="531"/>
      <c r="O11" s="531"/>
      <c r="P11" s="531"/>
      <c r="Q11" s="531"/>
      <c r="R11" s="531"/>
      <c r="S11" s="531"/>
      <c r="T11" s="938" t="s">
        <v>299</v>
      </c>
      <c r="U11" s="939"/>
      <c r="V11" s="939"/>
      <c r="W11" s="566"/>
      <c r="X11" s="534" t="s">
        <v>6</v>
      </c>
      <c r="AG11" s="56"/>
      <c r="AH11" s="4"/>
      <c r="AI11" s="4"/>
      <c r="AJ11" s="4"/>
      <c r="AK11" s="4"/>
      <c r="AL11" s="4"/>
      <c r="AM11" s="4"/>
      <c r="AN11" s="4"/>
    </row>
    <row r="12" spans="1:44" ht="16.5" customHeight="1" thickTop="1">
      <c r="A12" s="967" t="s">
        <v>144</v>
      </c>
      <c r="B12" s="966" t="s">
        <v>67</v>
      </c>
      <c r="C12" s="890">
        <f>IF(Sheet1!$D$15=1,1,11)</f>
        <v>11</v>
      </c>
      <c r="D12" s="890"/>
      <c r="E12" s="893">
        <f>IF(AND(Sheet1!$D$15=1,OR(Sheet1!C21&gt;=6,Sheet1!C21=0)),0,1)*OR(IF(AND(Sheet1!$D$16=1,OR(Sheet1!C22&gt;=6,Sheet1!C22=0)),0,1))</f>
        <v>1</v>
      </c>
      <c r="F12" s="878"/>
      <c r="G12" s="879"/>
      <c r="H12" s="879"/>
      <c r="I12" s="879"/>
      <c r="J12" s="879"/>
      <c r="K12" s="880"/>
      <c r="L12" s="879"/>
      <c r="M12" s="879"/>
      <c r="N12" s="879"/>
      <c r="O12" s="879"/>
      <c r="P12" s="879"/>
      <c r="Q12" s="914">
        <f>IF(AJ14-AK14&lt;0,"入力エラー！所得のみエラー！",0)</f>
        <v>0</v>
      </c>
      <c r="R12" s="914"/>
      <c r="S12" s="914"/>
      <c r="T12" s="915"/>
      <c r="U12" s="211">
        <f>IF(C12=0,IF(I13+I15=0,0,"入力エラー!加入月のみ入力されている!"),IF(I13+I15=0,"入力エラー!加入月が入力されていない!",0))</f>
        <v>0</v>
      </c>
      <c r="V12" s="18"/>
      <c r="W12" s="18"/>
      <c r="X12" s="18"/>
      <c r="Y12" s="18"/>
      <c r="AG12" s="56"/>
      <c r="AH12" s="923" t="s">
        <v>69</v>
      </c>
      <c r="AI12" s="924">
        <f>IF(I13&gt;0,1,0)</f>
        <v>1</v>
      </c>
      <c r="AJ12" s="923" t="s">
        <v>71</v>
      </c>
      <c r="AK12" s="923" t="s">
        <v>72</v>
      </c>
      <c r="AL12" s="4"/>
      <c r="AM12" s="106" t="s">
        <v>104</v>
      </c>
      <c r="AN12" s="153" t="s">
        <v>105</v>
      </c>
    </row>
    <row r="13" spans="1:44" ht="16.5" customHeight="1">
      <c r="A13" s="951"/>
      <c r="B13" s="960"/>
      <c r="C13" s="891"/>
      <c r="D13" s="891"/>
      <c r="E13" s="861"/>
      <c r="F13" s="854" t="s">
        <v>62</v>
      </c>
      <c r="G13" s="855"/>
      <c r="H13" s="855"/>
      <c r="I13" s="1">
        <f>IF(C12=0,0,12)</f>
        <v>12</v>
      </c>
      <c r="J13" s="49" t="s">
        <v>5</v>
      </c>
      <c r="K13" s="246"/>
      <c r="L13" s="850" t="s">
        <v>64</v>
      </c>
      <c r="M13" s="850"/>
      <c r="N13" s="852">
        <f>IF(Sheet1!$D$15=1,Sheet1!J21,IF(Sheet1!J22=0,0,Sheet1!J22))</f>
        <v>0</v>
      </c>
      <c r="O13" s="852"/>
      <c r="P13" s="852"/>
      <c r="Q13" s="855" t="s">
        <v>65</v>
      </c>
      <c r="R13" s="946" t="s">
        <v>66</v>
      </c>
      <c r="S13" s="946"/>
      <c r="T13" s="947"/>
      <c r="U13" s="137">
        <f>IF(I13=0,0,IF(I13&lt;12,"＊＊資格変動あり？期割内訳使用禁止！保険料内訳は使用ＯＫ！",0))</f>
        <v>0</v>
      </c>
      <c r="V13" s="137"/>
      <c r="W13" s="137"/>
      <c r="X13" s="137"/>
      <c r="Y13" s="535" t="s">
        <v>327</v>
      </c>
      <c r="Z13" s="536">
        <f>算出表!$F$30</f>
        <v>16100</v>
      </c>
      <c r="AA13" s="537"/>
      <c r="AB13" s="537"/>
      <c r="AC13" s="538" t="s">
        <v>329</v>
      </c>
      <c r="AG13" s="56"/>
      <c r="AH13" s="923"/>
      <c r="AI13" s="924"/>
      <c r="AJ13" s="923"/>
      <c r="AK13" s="923"/>
      <c r="AL13" s="4"/>
      <c r="AM13" s="106">
        <f>IF(Q5=0,0,1)</f>
        <v>0</v>
      </c>
      <c r="AN13" s="154">
        <f>IF(R7+R8=0,0,1)</f>
        <v>0</v>
      </c>
    </row>
    <row r="14" spans="1:44" ht="16.5" customHeight="1">
      <c r="A14" s="951"/>
      <c r="B14" s="960"/>
      <c r="C14" s="891"/>
      <c r="D14" s="891"/>
      <c r="E14" s="861"/>
      <c r="F14" s="887">
        <f>IF(I13-I15&lt;0,"加入月エラー！介護月より医療月少ない",0)</f>
        <v>0</v>
      </c>
      <c r="G14" s="888"/>
      <c r="H14" s="888"/>
      <c r="I14" s="888"/>
      <c r="J14" s="888"/>
      <c r="K14" s="889"/>
      <c r="L14" s="850"/>
      <c r="M14" s="850"/>
      <c r="N14" s="852"/>
      <c r="O14" s="852"/>
      <c r="P14" s="852"/>
      <c r="Q14" s="855"/>
      <c r="R14" s="882">
        <f>ROUNDDOWN(N13,-3)</f>
        <v>0</v>
      </c>
      <c r="S14" s="882"/>
      <c r="T14" s="925" t="s">
        <v>6</v>
      </c>
      <c r="U14" s="137">
        <f>IF(I15=0,0,IF(I15&lt;12,"＊＊資格異動あり？期割り内訳使用注意！年度途中64歳は計算ＯＫ",0))</f>
        <v>0</v>
      </c>
      <c r="V14" s="137"/>
      <c r="W14" s="137"/>
      <c r="X14" s="137"/>
      <c r="Y14" s="539">
        <v>6</v>
      </c>
      <c r="Z14" s="540">
        <v>10</v>
      </c>
      <c r="AA14" s="541">
        <f>ROUNDDOWN($Z$13/Z14,-2)</f>
        <v>1600</v>
      </c>
      <c r="AB14" s="541"/>
      <c r="AC14" s="542">
        <f>算出表!$F$30-入力画面!AA14*9</f>
        <v>1700</v>
      </c>
      <c r="AG14" s="56"/>
      <c r="AH14" s="923" t="s">
        <v>70</v>
      </c>
      <c r="AI14" s="924">
        <f>IF(I15&gt;0,1,0)</f>
        <v>0</v>
      </c>
      <c r="AJ14" s="927">
        <f>IF(C12=0,0,1)</f>
        <v>1</v>
      </c>
      <c r="AK14" s="927">
        <f>IF(N13&gt;0,1,0)</f>
        <v>0</v>
      </c>
      <c r="AL14" s="4"/>
      <c r="AM14" s="4"/>
      <c r="AN14" s="151"/>
    </row>
    <row r="15" spans="1:44" ht="16.5" customHeight="1">
      <c r="A15" s="951"/>
      <c r="B15" s="961">
        <f>IF(AJ14-AI12&lt;0,"エラー",0)</f>
        <v>0</v>
      </c>
      <c r="C15" s="891"/>
      <c r="D15" s="891"/>
      <c r="E15" s="861"/>
      <c r="F15" s="854" t="s">
        <v>63</v>
      </c>
      <c r="G15" s="855"/>
      <c r="H15" s="855"/>
      <c r="I15" s="1">
        <f>IF(C12=0,0,IF(AND(C12=1,Sheet1!C21&gt;=40,Sheet1!C21&lt;65),12,IF(AND(C12=11,Sheet1!C22&gt;=40,Sheet1!C22&lt;65),12,0)))</f>
        <v>0</v>
      </c>
      <c r="J15" s="49" t="s">
        <v>5</v>
      </c>
      <c r="K15" s="246"/>
      <c r="L15" s="850"/>
      <c r="M15" s="850"/>
      <c r="N15" s="852"/>
      <c r="O15" s="852"/>
      <c r="P15" s="852"/>
      <c r="Q15" s="855"/>
      <c r="R15" s="882"/>
      <c r="S15" s="882"/>
      <c r="T15" s="925"/>
      <c r="U15" s="137">
        <f>IF(I13=0,0,IF(I13=12,0,"!！期割計算不可能!！"))</f>
        <v>0</v>
      </c>
      <c r="V15" s="139"/>
      <c r="W15" s="139"/>
      <c r="X15" s="139"/>
      <c r="Y15" s="539">
        <v>7</v>
      </c>
      <c r="Z15" s="540">
        <v>9</v>
      </c>
      <c r="AA15" s="541">
        <f t="shared" ref="AA15:AA23" si="0">ROUNDDOWN($Z$13/Z15,-2)</f>
        <v>1700</v>
      </c>
      <c r="AB15" s="541"/>
      <c r="AC15" s="542">
        <f>算出表!$F$30-入力画面!AA15*8</f>
        <v>2500</v>
      </c>
      <c r="AG15" s="56"/>
      <c r="AH15" s="923"/>
      <c r="AI15" s="924"/>
      <c r="AJ15" s="927"/>
      <c r="AK15" s="927"/>
      <c r="AL15" s="4"/>
      <c r="AM15" s="4"/>
      <c r="AN15" s="151"/>
    </row>
    <row r="16" spans="1:44" ht="16.5" customHeight="1">
      <c r="A16" s="952"/>
      <c r="B16" s="962"/>
      <c r="C16" s="892"/>
      <c r="D16" s="892"/>
      <c r="E16" s="862"/>
      <c r="F16" s="884" t="s">
        <v>336</v>
      </c>
      <c r="G16" s="885"/>
      <c r="H16" s="885"/>
      <c r="I16" s="885"/>
      <c r="J16" s="885"/>
      <c r="K16" s="886"/>
      <c r="L16" s="851"/>
      <c r="M16" s="851"/>
      <c r="N16" s="853"/>
      <c r="O16" s="853"/>
      <c r="P16" s="853"/>
      <c r="Q16" s="881"/>
      <c r="R16" s="883"/>
      <c r="S16" s="883"/>
      <c r="T16" s="926"/>
      <c r="U16" s="137">
        <f>IF(I15=0,0,IF(I15=12,0,"!！期割計算不可能!！"))</f>
        <v>0</v>
      </c>
      <c r="V16" s="140"/>
      <c r="W16" s="140"/>
      <c r="X16" s="140"/>
      <c r="Y16" s="539">
        <v>8</v>
      </c>
      <c r="Z16" s="540">
        <v>8</v>
      </c>
      <c r="AA16" s="541">
        <f t="shared" si="0"/>
        <v>2000</v>
      </c>
      <c r="AB16" s="541"/>
      <c r="AC16" s="542">
        <f>算出表!$F$30-入力画面!AA16*7</f>
        <v>2100</v>
      </c>
      <c r="AG16" s="56"/>
      <c r="AH16" s="4"/>
      <c r="AI16" s="4"/>
      <c r="AJ16" s="4"/>
      <c r="AK16" s="4"/>
      <c r="AL16" s="4"/>
      <c r="AM16" s="4"/>
      <c r="AN16" s="151"/>
    </row>
    <row r="17" spans="1:40" ht="16.5" customHeight="1">
      <c r="A17" s="950" t="s">
        <v>145</v>
      </c>
      <c r="B17" s="959" t="s">
        <v>67</v>
      </c>
      <c r="C17" s="894">
        <f>IF(AND(Sheet1!$D$15=1,Sheet1!C22&gt;0),2,IF(AND(Sheet1!$D$15=1,Sheet1!C22=0),0,IF(Sheet1!C23=0,0,12)))</f>
        <v>0</v>
      </c>
      <c r="D17" s="894"/>
      <c r="E17" s="860">
        <f>IF(AND(Sheet1!$D$15=1,OR(Sheet1!C22&gt;=6,Sheet1!C22=0)),0,1)*OR(IF(AND(Sheet1!$D$16=1,OR(Sheet1!C23&gt;=6,Sheet1!C23=0)),0,1))</f>
        <v>1</v>
      </c>
      <c r="F17" s="847">
        <f>IF(I13&lt;I18,"＊エラー!①から順に入力すること＊",0)</f>
        <v>0</v>
      </c>
      <c r="G17" s="848"/>
      <c r="H17" s="848"/>
      <c r="I17" s="848"/>
      <c r="J17" s="848"/>
      <c r="K17" s="849"/>
      <c r="L17" s="856"/>
      <c r="M17" s="856"/>
      <c r="N17" s="856"/>
      <c r="O17" s="856"/>
      <c r="P17" s="856"/>
      <c r="Q17" s="948">
        <f>IF(AJ19-AK19&lt;0,"入力エラー！所得のみエラー！",0)</f>
        <v>0</v>
      </c>
      <c r="R17" s="948"/>
      <c r="S17" s="948"/>
      <c r="T17" s="949"/>
      <c r="U17" s="211">
        <f>IF(C17=0,IF(I18+I20=0,0,"入力エラー!加入月のみ入力されている!"),IF(I18+I20=0,"入力エラー!加入月が入力されていない!",0))</f>
        <v>0</v>
      </c>
      <c r="V17" s="18"/>
      <c r="W17" s="18"/>
      <c r="X17" s="18"/>
      <c r="Y17" s="539">
        <v>9</v>
      </c>
      <c r="Z17" s="540">
        <v>7</v>
      </c>
      <c r="AA17" s="541">
        <f t="shared" si="0"/>
        <v>2300</v>
      </c>
      <c r="AB17" s="541"/>
      <c r="AC17" s="542">
        <f>算出表!$F$30-入力画面!AA17*6</f>
        <v>2300</v>
      </c>
      <c r="AG17" s="56"/>
      <c r="AH17" s="923" t="s">
        <v>69</v>
      </c>
      <c r="AI17" s="924">
        <f>IF(I18&gt;0,1,0)</f>
        <v>0</v>
      </c>
      <c r="AJ17" s="923" t="s">
        <v>71</v>
      </c>
      <c r="AK17" s="923" t="s">
        <v>72</v>
      </c>
      <c r="AL17" s="4"/>
      <c r="AM17" s="4"/>
      <c r="AN17" s="151"/>
    </row>
    <row r="18" spans="1:40" ht="16.5" customHeight="1">
      <c r="A18" s="951"/>
      <c r="B18" s="960"/>
      <c r="C18" s="891"/>
      <c r="D18" s="891"/>
      <c r="E18" s="861"/>
      <c r="F18" s="854" t="s">
        <v>62</v>
      </c>
      <c r="G18" s="855"/>
      <c r="H18" s="855"/>
      <c r="I18" s="1">
        <f>IF(C17=0,0,12)</f>
        <v>0</v>
      </c>
      <c r="J18" s="49" t="s">
        <v>5</v>
      </c>
      <c r="K18" s="246"/>
      <c r="L18" s="850" t="s">
        <v>64</v>
      </c>
      <c r="M18" s="850"/>
      <c r="N18" s="852">
        <f>IF(Sheet1!$D$15=1,Sheet1!J22,IF(Sheet1!J23=0,0,Sheet1!J23))</f>
        <v>0</v>
      </c>
      <c r="O18" s="852"/>
      <c r="P18" s="852"/>
      <c r="Q18" s="855" t="s">
        <v>65</v>
      </c>
      <c r="R18" s="946" t="s">
        <v>66</v>
      </c>
      <c r="S18" s="946"/>
      <c r="T18" s="947"/>
      <c r="U18" s="137">
        <f>IF(I18=0,0,IF(I18&lt;12,"＊＊資格変動あり？期割内訳使用禁止！保険料内訳は使用ＯＫ！",0))</f>
        <v>0</v>
      </c>
      <c r="V18" s="136"/>
      <c r="W18" s="136"/>
      <c r="X18" s="136"/>
      <c r="Y18" s="539">
        <v>10</v>
      </c>
      <c r="Z18" s="540">
        <v>6</v>
      </c>
      <c r="AA18" s="541">
        <f t="shared" si="0"/>
        <v>2600</v>
      </c>
      <c r="AB18" s="541"/>
      <c r="AC18" s="542">
        <f>算出表!$F$30-入力画面!AA18*5</f>
        <v>3100</v>
      </c>
      <c r="AG18" s="56"/>
      <c r="AH18" s="923"/>
      <c r="AI18" s="924"/>
      <c r="AJ18" s="923"/>
      <c r="AK18" s="923"/>
      <c r="AL18" s="4"/>
      <c r="AM18" s="4"/>
      <c r="AN18" s="151"/>
    </row>
    <row r="19" spans="1:40" ht="16.5" customHeight="1">
      <c r="A19" s="951"/>
      <c r="B19" s="960"/>
      <c r="C19" s="891"/>
      <c r="D19" s="891"/>
      <c r="E19" s="861"/>
      <c r="F19" s="887"/>
      <c r="G19" s="888"/>
      <c r="H19" s="888"/>
      <c r="I19" s="888"/>
      <c r="J19" s="888"/>
      <c r="K19" s="889"/>
      <c r="L19" s="850"/>
      <c r="M19" s="850"/>
      <c r="N19" s="852"/>
      <c r="O19" s="852"/>
      <c r="P19" s="852"/>
      <c r="Q19" s="855"/>
      <c r="R19" s="882">
        <f>ROUNDDOWN(N18,-3)</f>
        <v>0</v>
      </c>
      <c r="S19" s="882"/>
      <c r="T19" s="925" t="s">
        <v>6</v>
      </c>
      <c r="U19" s="137">
        <f>IF(I20=0,0,IF(I20&lt;12,"＊＊資格異動あり？期割り内訳使用注意！年度途中64歳は計算ＯＫ",0))</f>
        <v>0</v>
      </c>
      <c r="V19" s="137"/>
      <c r="W19" s="137"/>
      <c r="X19" s="137"/>
      <c r="Y19" s="539">
        <v>11</v>
      </c>
      <c r="Z19" s="540">
        <v>5</v>
      </c>
      <c r="AA19" s="541">
        <f t="shared" si="0"/>
        <v>3200</v>
      </c>
      <c r="AB19" s="541"/>
      <c r="AC19" s="542">
        <f>算出表!$F$30-入力画面!AA19*4</f>
        <v>3300</v>
      </c>
      <c r="AG19" s="56"/>
      <c r="AH19" s="923" t="s">
        <v>70</v>
      </c>
      <c r="AI19" s="924">
        <f>IF(I20&gt;0,1,0)</f>
        <v>0</v>
      </c>
      <c r="AJ19" s="927">
        <f>IF(C17=0,0,1)</f>
        <v>0</v>
      </c>
      <c r="AK19" s="927">
        <f>IF(N18&gt;0,1,0)</f>
        <v>0</v>
      </c>
      <c r="AL19" s="4"/>
      <c r="AM19" s="4"/>
      <c r="AN19" s="151"/>
    </row>
    <row r="20" spans="1:40" ht="16.5" customHeight="1">
      <c r="A20" s="951"/>
      <c r="B20" s="961">
        <f>IF(AJ19-AI17&lt;0,"エラー",0)</f>
        <v>0</v>
      </c>
      <c r="C20" s="891"/>
      <c r="D20" s="891"/>
      <c r="E20" s="861"/>
      <c r="F20" s="854" t="s">
        <v>63</v>
      </c>
      <c r="G20" s="855"/>
      <c r="H20" s="855"/>
      <c r="I20" s="1">
        <f>IF(C17=0,0,IF(AND(C17=2,Sheet1!C22&gt;=40,Sheet1!C22&lt;65),12,IF(AND(C17=12,Sheet1!C23&gt;=40,Sheet1!C23&lt;65),12,0)))</f>
        <v>0</v>
      </c>
      <c r="J20" s="49" t="s">
        <v>5</v>
      </c>
      <c r="K20" s="246"/>
      <c r="L20" s="850"/>
      <c r="M20" s="850"/>
      <c r="N20" s="852"/>
      <c r="O20" s="852"/>
      <c r="P20" s="852"/>
      <c r="Q20" s="855"/>
      <c r="R20" s="882"/>
      <c r="S20" s="882"/>
      <c r="T20" s="925"/>
      <c r="U20" s="137">
        <f>IF(I18=0,0,IF(I18=12,0,"!！期割計算不可能!！"))</f>
        <v>0</v>
      </c>
      <c r="V20" s="139"/>
      <c r="W20" s="139"/>
      <c r="X20" s="139"/>
      <c r="Y20" s="539">
        <v>12</v>
      </c>
      <c r="Z20" s="540">
        <v>4</v>
      </c>
      <c r="AA20" s="541">
        <f t="shared" si="0"/>
        <v>4000</v>
      </c>
      <c r="AB20" s="541"/>
      <c r="AC20" s="542">
        <f>算出表!$F$30-入力画面!AA20*3</f>
        <v>4100</v>
      </c>
      <c r="AG20" s="56"/>
      <c r="AH20" s="923"/>
      <c r="AI20" s="924"/>
      <c r="AJ20" s="927"/>
      <c r="AK20" s="927"/>
      <c r="AL20" s="4"/>
      <c r="AM20" s="4"/>
      <c r="AN20" s="151"/>
    </row>
    <row r="21" spans="1:40" ht="16.5" customHeight="1">
      <c r="A21" s="952"/>
      <c r="B21" s="962"/>
      <c r="C21" s="892"/>
      <c r="D21" s="892"/>
      <c r="E21" s="862"/>
      <c r="F21" s="857">
        <f>IF(I15&lt;I20,"介護該当者は①から順に入力すること",0)</f>
        <v>0</v>
      </c>
      <c r="G21" s="858"/>
      <c r="H21" s="858"/>
      <c r="I21" s="858"/>
      <c r="J21" s="858"/>
      <c r="K21" s="859"/>
      <c r="L21" s="851"/>
      <c r="M21" s="851"/>
      <c r="N21" s="853"/>
      <c r="O21" s="853"/>
      <c r="P21" s="853"/>
      <c r="Q21" s="881"/>
      <c r="R21" s="883"/>
      <c r="S21" s="883"/>
      <c r="T21" s="926"/>
      <c r="U21" s="137">
        <f>IF(I20=0,0,IF(I20=12,0,"!！期割計算不可能!！"))</f>
        <v>0</v>
      </c>
      <c r="V21" s="140"/>
      <c r="W21" s="140"/>
      <c r="X21" s="140"/>
      <c r="Y21" s="539">
        <v>1</v>
      </c>
      <c r="Z21" s="540">
        <v>3</v>
      </c>
      <c r="AA21" s="541">
        <f t="shared" si="0"/>
        <v>5300</v>
      </c>
      <c r="AB21" s="541"/>
      <c r="AC21" s="542">
        <f>算出表!$F$30-入力画面!AA21*2</f>
        <v>5500</v>
      </c>
      <c r="AG21" s="56"/>
      <c r="AH21" s="4"/>
      <c r="AI21" s="4"/>
      <c r="AJ21" s="4"/>
      <c r="AK21" s="4"/>
      <c r="AL21" s="4"/>
      <c r="AM21" s="4"/>
      <c r="AN21" s="151"/>
    </row>
    <row r="22" spans="1:40" ht="16.5" customHeight="1">
      <c r="A22" s="950" t="s">
        <v>146</v>
      </c>
      <c r="B22" s="959" t="s">
        <v>67</v>
      </c>
      <c r="C22" s="894">
        <f>IF(AND(Sheet1!$D$15=1,Sheet1!C23&gt;0),3,IF(AND(Sheet1!$D$15=1,Sheet1!C23=0),0,IF(Sheet1!C24=0,0,13)))</f>
        <v>0</v>
      </c>
      <c r="D22" s="894"/>
      <c r="E22" s="860">
        <f>IF(AND(Sheet1!$D$15=1,OR(Sheet1!C23&gt;=6,Sheet1!C23=0)),0,1)*OR(IF(AND(Sheet1!$D$16=1,OR(Sheet1!C24&gt;=6,Sheet1!C24=0)),0,1))</f>
        <v>1</v>
      </c>
      <c r="F22" s="847">
        <f>IF(I18&lt;I23,"＊エラー!①から順に入力すること＊",0)</f>
        <v>0</v>
      </c>
      <c r="G22" s="848"/>
      <c r="H22" s="848"/>
      <c r="I22" s="848"/>
      <c r="J22" s="848"/>
      <c r="K22" s="849"/>
      <c r="L22" s="856"/>
      <c r="M22" s="856"/>
      <c r="N22" s="856"/>
      <c r="O22" s="856"/>
      <c r="P22" s="856"/>
      <c r="Q22" s="948">
        <f>IF(AJ24-AK24&lt;0,"入力エラー！所得のみエラー！",0)</f>
        <v>0</v>
      </c>
      <c r="R22" s="948"/>
      <c r="S22" s="948"/>
      <c r="T22" s="949"/>
      <c r="U22" s="211">
        <f>IF(C22=0,IF(I23+I25=0,0,"入力エラー!加入月のみ入力されている!"),IF(I23+I25=0,"入力エラー!加入月が入力されていない!",0))</f>
        <v>0</v>
      </c>
      <c r="V22" s="18"/>
      <c r="W22" s="18"/>
      <c r="X22" s="18"/>
      <c r="Y22" s="539">
        <v>2</v>
      </c>
      <c r="Z22" s="540">
        <v>2</v>
      </c>
      <c r="AA22" s="541">
        <f t="shared" si="0"/>
        <v>8000</v>
      </c>
      <c r="AB22" s="541"/>
      <c r="AC22" s="542">
        <f>算出表!$F$30-入力画面!AA22</f>
        <v>8100</v>
      </c>
      <c r="AG22" s="56"/>
      <c r="AH22" s="923" t="s">
        <v>69</v>
      </c>
      <c r="AI22" s="924">
        <f>IF(I23&gt;0,1,0)</f>
        <v>0</v>
      </c>
      <c r="AJ22" s="923" t="s">
        <v>71</v>
      </c>
      <c r="AK22" s="923" t="s">
        <v>72</v>
      </c>
      <c r="AL22" s="4"/>
      <c r="AM22" s="4"/>
      <c r="AN22" s="151"/>
    </row>
    <row r="23" spans="1:40" ht="16.5" customHeight="1">
      <c r="A23" s="951"/>
      <c r="B23" s="960"/>
      <c r="C23" s="891"/>
      <c r="D23" s="891"/>
      <c r="E23" s="861"/>
      <c r="F23" s="854" t="s">
        <v>62</v>
      </c>
      <c r="G23" s="855"/>
      <c r="H23" s="855"/>
      <c r="I23" s="1">
        <f>IF(C22=0,0,12)</f>
        <v>0</v>
      </c>
      <c r="J23" s="49" t="s">
        <v>5</v>
      </c>
      <c r="K23" s="246"/>
      <c r="L23" s="850" t="s">
        <v>64</v>
      </c>
      <c r="M23" s="850"/>
      <c r="N23" s="852">
        <f>IF(Sheet1!$D$15=1,Sheet1!J23,IF(Sheet1!J24=0,0,Sheet1!J24))</f>
        <v>0</v>
      </c>
      <c r="O23" s="852"/>
      <c r="P23" s="852"/>
      <c r="Q23" s="855" t="s">
        <v>65</v>
      </c>
      <c r="R23" s="946" t="s">
        <v>66</v>
      </c>
      <c r="S23" s="946"/>
      <c r="T23" s="947"/>
      <c r="U23" s="137">
        <f>IF(I23=0,0,IF(I23&lt;12,"＊＊資格変動あり？期割内訳使用禁止！保険料内訳は使用ＯＫ！",0))</f>
        <v>0</v>
      </c>
      <c r="V23" s="136"/>
      <c r="W23" s="136"/>
      <c r="X23" s="136"/>
      <c r="Y23" s="543">
        <v>3</v>
      </c>
      <c r="Z23" s="544">
        <v>1</v>
      </c>
      <c r="AA23" s="545">
        <f t="shared" si="0"/>
        <v>16100</v>
      </c>
      <c r="AB23" s="545"/>
      <c r="AC23" s="546"/>
      <c r="AG23" s="56"/>
      <c r="AH23" s="923"/>
      <c r="AI23" s="924"/>
      <c r="AJ23" s="923"/>
      <c r="AK23" s="923"/>
      <c r="AL23" s="4"/>
      <c r="AM23" s="4"/>
      <c r="AN23" s="151"/>
    </row>
    <row r="24" spans="1:40" ht="16.5" customHeight="1">
      <c r="A24" s="951"/>
      <c r="B24" s="960"/>
      <c r="C24" s="891"/>
      <c r="D24" s="891"/>
      <c r="E24" s="861"/>
      <c r="F24" s="887">
        <f>IF(I23-I25&lt;0,"加入月エラー！介護月より医療月少ない",0)</f>
        <v>0</v>
      </c>
      <c r="G24" s="888"/>
      <c r="H24" s="888"/>
      <c r="I24" s="888"/>
      <c r="J24" s="888"/>
      <c r="K24" s="889"/>
      <c r="L24" s="850"/>
      <c r="M24" s="850"/>
      <c r="N24" s="852"/>
      <c r="O24" s="852"/>
      <c r="P24" s="852"/>
      <c r="Q24" s="855"/>
      <c r="R24" s="882">
        <f>ROUNDDOWN(N23,-3)</f>
        <v>0</v>
      </c>
      <c r="S24" s="882"/>
      <c r="T24" s="925" t="s">
        <v>6</v>
      </c>
      <c r="U24" s="137">
        <f>IF(I25=0,0,IF(I25&lt;12,"＊＊資格異動あり？期割り内訳使用注意！年度途中64歳は計算ＯＫ",0))</f>
        <v>0</v>
      </c>
      <c r="V24" s="137"/>
      <c r="W24" s="137"/>
      <c r="X24" s="137"/>
      <c r="Y24" s="137"/>
      <c r="Z24" s="137"/>
      <c r="AG24" s="56"/>
      <c r="AH24" s="923" t="s">
        <v>70</v>
      </c>
      <c r="AI24" s="924">
        <f>IF(I25&gt;0,1,0)</f>
        <v>0</v>
      </c>
      <c r="AJ24" s="927">
        <f>IF(C22=0,0,1)</f>
        <v>0</v>
      </c>
      <c r="AK24" s="927">
        <f>IF(N23&gt;0,1,0)</f>
        <v>0</v>
      </c>
      <c r="AL24" s="4"/>
      <c r="AM24" s="4"/>
      <c r="AN24" s="151"/>
    </row>
    <row r="25" spans="1:40" ht="16.5" customHeight="1">
      <c r="A25" s="951"/>
      <c r="B25" s="961">
        <f>IF(AJ24-AI22&lt;0,"エラー",0)</f>
        <v>0</v>
      </c>
      <c r="C25" s="891"/>
      <c r="D25" s="891"/>
      <c r="E25" s="861"/>
      <c r="F25" s="854" t="s">
        <v>63</v>
      </c>
      <c r="G25" s="855"/>
      <c r="H25" s="855"/>
      <c r="I25" s="1">
        <f>IF(C22=0,0,IF(AND(C22=3,Sheet1!C23&gt;=40,Sheet1!C23&lt;65),12,IF(AND(C22=13,Sheet1!C24&gt;=40,Sheet1!C24&lt;65),12,0)))</f>
        <v>0</v>
      </c>
      <c r="J25" s="49" t="s">
        <v>5</v>
      </c>
      <c r="K25" s="246"/>
      <c r="L25" s="850"/>
      <c r="M25" s="850"/>
      <c r="N25" s="852"/>
      <c r="O25" s="852"/>
      <c r="P25" s="852"/>
      <c r="Q25" s="855"/>
      <c r="R25" s="882"/>
      <c r="S25" s="882"/>
      <c r="T25" s="925"/>
      <c r="U25" s="137">
        <f>IF(I23=0,0,IF(I23=12,0,"!！期割計算不可能!！"))</f>
        <v>0</v>
      </c>
      <c r="V25" s="139"/>
      <c r="W25" s="139"/>
      <c r="X25" s="139"/>
      <c r="Y25" s="139">
        <f>P10</f>
        <v>0</v>
      </c>
      <c r="Z25" s="139" t="e">
        <f>VLOOKUP(Y25,Y14:Z23,2,FALSE)</f>
        <v>#N/A</v>
      </c>
      <c r="AG25" s="56"/>
      <c r="AH25" s="923"/>
      <c r="AI25" s="924"/>
      <c r="AJ25" s="927"/>
      <c r="AK25" s="927"/>
      <c r="AL25" s="4"/>
      <c r="AM25" s="4"/>
      <c r="AN25" s="151"/>
    </row>
    <row r="26" spans="1:40" ht="16.5" customHeight="1">
      <c r="A26" s="952"/>
      <c r="B26" s="962"/>
      <c r="C26" s="892"/>
      <c r="D26" s="892"/>
      <c r="E26" s="862"/>
      <c r="F26" s="857">
        <f>IF(I20&lt;I25,"介護該当者は①から順に入力すること",0)</f>
        <v>0</v>
      </c>
      <c r="G26" s="858"/>
      <c r="H26" s="858"/>
      <c r="I26" s="858"/>
      <c r="J26" s="858"/>
      <c r="K26" s="859"/>
      <c r="L26" s="851"/>
      <c r="M26" s="851"/>
      <c r="N26" s="853"/>
      <c r="O26" s="853"/>
      <c r="P26" s="853"/>
      <c r="Q26" s="881"/>
      <c r="R26" s="883"/>
      <c r="S26" s="883"/>
      <c r="T26" s="926"/>
      <c r="U26" s="137">
        <f>IF(I25=0,0,IF(I25=12,0,"!！期割計算不可能!！"))</f>
        <v>0</v>
      </c>
      <c r="V26" s="140"/>
      <c r="W26" s="140"/>
      <c r="X26" s="140"/>
      <c r="Y26" s="140"/>
      <c r="Z26" s="140"/>
      <c r="AG26" s="56"/>
      <c r="AH26" s="4"/>
      <c r="AI26" s="4"/>
      <c r="AJ26" s="4"/>
      <c r="AK26" s="4"/>
      <c r="AL26" s="4"/>
      <c r="AM26" s="4"/>
      <c r="AN26" s="151"/>
    </row>
    <row r="27" spans="1:40" ht="16.5" customHeight="1">
      <c r="A27" s="950" t="s">
        <v>147</v>
      </c>
      <c r="B27" s="959" t="s">
        <v>67</v>
      </c>
      <c r="C27" s="894">
        <f>IF(AND(Sheet1!$D$15=1,Sheet1!C24&gt;0),4,IF(AND(Sheet1!$D$15=1,Sheet1!C24=0),0,IF(Sheet1!C25=0,0,14)))</f>
        <v>0</v>
      </c>
      <c r="D27" s="894"/>
      <c r="E27" s="860">
        <f>IF(AND(Sheet1!$D$15=1,OR(Sheet1!C24&gt;=6,Sheet1!C24=0)),0,1)*OR(IF(AND(Sheet1!$D$16=1,OR(Sheet1!C25&gt;=6,Sheet1!C25=0)),0,1))</f>
        <v>1</v>
      </c>
      <c r="F27" s="847">
        <f>IF(I23&lt;I28,"＊エラー!①から順に入力すること＊",0)</f>
        <v>0</v>
      </c>
      <c r="G27" s="848"/>
      <c r="H27" s="848"/>
      <c r="I27" s="848"/>
      <c r="J27" s="848"/>
      <c r="K27" s="849"/>
      <c r="L27" s="856"/>
      <c r="M27" s="856"/>
      <c r="N27" s="856"/>
      <c r="O27" s="856"/>
      <c r="P27" s="856"/>
      <c r="Q27" s="948">
        <f>IF(AJ29-AK29&lt;0,"入力エラー！所得のみエラー！",0)</f>
        <v>0</v>
      </c>
      <c r="R27" s="948"/>
      <c r="S27" s="948"/>
      <c r="T27" s="949"/>
      <c r="U27" s="211">
        <f>IF(C27=0,IF(I28+I30=0,0,"入力エラー!加入月のみ入力されている!"),IF(I28+I30=0,"入力エラー!加入月が入力されていない!",0))</f>
        <v>0</v>
      </c>
      <c r="V27" s="18"/>
      <c r="W27" s="18"/>
      <c r="X27" s="18"/>
      <c r="Y27" s="18"/>
      <c r="AG27" s="56"/>
      <c r="AH27" s="923" t="s">
        <v>69</v>
      </c>
      <c r="AI27" s="924">
        <f>IF(I28&gt;0,1,0)</f>
        <v>0</v>
      </c>
      <c r="AJ27" s="923" t="s">
        <v>71</v>
      </c>
      <c r="AK27" s="923" t="s">
        <v>72</v>
      </c>
      <c r="AL27" s="4"/>
      <c r="AM27" s="4"/>
      <c r="AN27" s="151"/>
    </row>
    <row r="28" spans="1:40" ht="16.5" customHeight="1">
      <c r="A28" s="951"/>
      <c r="B28" s="960"/>
      <c r="C28" s="891"/>
      <c r="D28" s="891"/>
      <c r="E28" s="861"/>
      <c r="F28" s="854" t="s">
        <v>62</v>
      </c>
      <c r="G28" s="855"/>
      <c r="H28" s="855"/>
      <c r="I28" s="1">
        <f>IF(C27=0,0,12)</f>
        <v>0</v>
      </c>
      <c r="J28" s="49" t="s">
        <v>5</v>
      </c>
      <c r="K28" s="246"/>
      <c r="L28" s="850" t="s">
        <v>64</v>
      </c>
      <c r="M28" s="850"/>
      <c r="N28" s="852">
        <f>IF(Sheet1!$D$15=1,Sheet1!J24,IF(Sheet1!J25=0,0,Sheet1!J25))</f>
        <v>0</v>
      </c>
      <c r="O28" s="852"/>
      <c r="P28" s="852"/>
      <c r="Q28" s="855" t="s">
        <v>65</v>
      </c>
      <c r="R28" s="946" t="s">
        <v>66</v>
      </c>
      <c r="S28" s="946"/>
      <c r="T28" s="947"/>
      <c r="U28" s="137">
        <f>IF(I28=0,0,IF(I28&lt;12,"＊＊資格変動あり？期割内訳使用禁止！保険料内訳は使用ＯＫ！",0))</f>
        <v>0</v>
      </c>
      <c r="V28" s="137"/>
      <c r="W28" s="137"/>
      <c r="X28" s="137"/>
      <c r="Y28" s="137"/>
      <c r="Z28" s="138"/>
      <c r="AG28" s="56"/>
      <c r="AH28" s="923"/>
      <c r="AI28" s="924"/>
      <c r="AJ28" s="923"/>
      <c r="AK28" s="923"/>
      <c r="AL28" s="4"/>
      <c r="AM28" s="4"/>
      <c r="AN28" s="151"/>
    </row>
    <row r="29" spans="1:40" ht="16.5" customHeight="1">
      <c r="A29" s="951"/>
      <c r="B29" s="960"/>
      <c r="C29" s="891"/>
      <c r="D29" s="891"/>
      <c r="E29" s="861"/>
      <c r="F29" s="887">
        <f>IF(I28-I30&lt;0,"加入月エラー！介護月より医療月少ない",0)</f>
        <v>0</v>
      </c>
      <c r="G29" s="888"/>
      <c r="H29" s="888"/>
      <c r="I29" s="888"/>
      <c r="J29" s="888"/>
      <c r="K29" s="889"/>
      <c r="L29" s="850"/>
      <c r="M29" s="850"/>
      <c r="N29" s="852"/>
      <c r="O29" s="852"/>
      <c r="P29" s="852"/>
      <c r="Q29" s="855"/>
      <c r="R29" s="882">
        <f>ROUNDDOWN(N28,-3)</f>
        <v>0</v>
      </c>
      <c r="S29" s="882"/>
      <c r="T29" s="925" t="s">
        <v>6</v>
      </c>
      <c r="U29" s="137">
        <f>IF(I30=0,0,IF(I30&lt;12,"＊＊資格異動あり？期割り内訳使用注意！年度途中64歳は計算ＯＫ",0))</f>
        <v>0</v>
      </c>
      <c r="V29" s="137"/>
      <c r="W29" s="137"/>
      <c r="X29" s="137"/>
      <c r="Y29" s="137"/>
      <c r="Z29" s="137"/>
      <c r="AG29" s="56"/>
      <c r="AH29" s="923" t="s">
        <v>70</v>
      </c>
      <c r="AI29" s="924">
        <f>IF(I30&gt;0,1,0)</f>
        <v>0</v>
      </c>
      <c r="AJ29" s="927">
        <f>IF(C27=0,0,1)</f>
        <v>0</v>
      </c>
      <c r="AK29" s="927">
        <f>IF(N28&gt;0,1,0)</f>
        <v>0</v>
      </c>
      <c r="AL29" s="4"/>
      <c r="AM29" s="4"/>
      <c r="AN29" s="151"/>
    </row>
    <row r="30" spans="1:40" ht="16.5" customHeight="1">
      <c r="A30" s="951"/>
      <c r="B30" s="961">
        <f>IF(AJ29-AI27&lt;0,"エラー",0)</f>
        <v>0</v>
      </c>
      <c r="C30" s="891"/>
      <c r="D30" s="891"/>
      <c r="E30" s="861"/>
      <c r="F30" s="854" t="s">
        <v>63</v>
      </c>
      <c r="G30" s="855"/>
      <c r="H30" s="855"/>
      <c r="I30" s="1">
        <f>IF(C27=0,0,IF(AND(C27=4,Sheet1!C24&gt;=40,Sheet1!C24&lt;65),12,IF(AND(C27=14,Sheet1!C25&gt;=40,Sheet1!C25&lt;65),12,0)))</f>
        <v>0</v>
      </c>
      <c r="J30" s="49" t="s">
        <v>5</v>
      </c>
      <c r="K30" s="246"/>
      <c r="L30" s="850"/>
      <c r="M30" s="850"/>
      <c r="N30" s="852"/>
      <c r="O30" s="852"/>
      <c r="P30" s="852"/>
      <c r="Q30" s="855"/>
      <c r="R30" s="882"/>
      <c r="S30" s="882"/>
      <c r="T30" s="925"/>
      <c r="U30" s="137">
        <f>IF(I28=0,0,IF(I28=12,0,"!！期割計算不可能!！"))</f>
        <v>0</v>
      </c>
      <c r="V30" s="139"/>
      <c r="W30" s="139"/>
      <c r="X30" s="139"/>
      <c r="Y30" s="139"/>
      <c r="Z30" s="139"/>
      <c r="AG30" s="56"/>
      <c r="AH30" s="923"/>
      <c r="AI30" s="924"/>
      <c r="AJ30" s="927"/>
      <c r="AK30" s="927"/>
      <c r="AL30" s="4"/>
      <c r="AM30" s="4"/>
      <c r="AN30" s="151"/>
    </row>
    <row r="31" spans="1:40" ht="16.5" customHeight="1">
      <c r="A31" s="952"/>
      <c r="B31" s="962"/>
      <c r="C31" s="892"/>
      <c r="D31" s="892"/>
      <c r="E31" s="862"/>
      <c r="F31" s="857">
        <f>IF(I25&lt;I30,"介護該当者は①から順に入力すること",0)</f>
        <v>0</v>
      </c>
      <c r="G31" s="858"/>
      <c r="H31" s="858"/>
      <c r="I31" s="858"/>
      <c r="J31" s="858"/>
      <c r="K31" s="859"/>
      <c r="L31" s="851"/>
      <c r="M31" s="851"/>
      <c r="N31" s="853"/>
      <c r="O31" s="853"/>
      <c r="P31" s="853"/>
      <c r="Q31" s="881"/>
      <c r="R31" s="883"/>
      <c r="S31" s="883"/>
      <c r="T31" s="926"/>
      <c r="U31" s="137">
        <f>IF(I30=0,0,IF(I30=12,0,"!！期割計算不可能!！"))</f>
        <v>0</v>
      </c>
      <c r="V31" s="140"/>
      <c r="W31" s="140"/>
      <c r="X31" s="140"/>
      <c r="Y31" s="140"/>
      <c r="Z31" s="140"/>
      <c r="AG31" s="56"/>
      <c r="AH31" s="4"/>
      <c r="AI31" s="4"/>
      <c r="AJ31" s="4"/>
      <c r="AK31" s="4"/>
      <c r="AL31" s="4"/>
      <c r="AM31" s="4"/>
      <c r="AN31" s="151"/>
    </row>
    <row r="32" spans="1:40" ht="16.5" customHeight="1">
      <c r="A32" s="950" t="s">
        <v>148</v>
      </c>
      <c r="B32" s="959" t="s">
        <v>67</v>
      </c>
      <c r="C32" s="894">
        <f>IF(AND(Sheet1!$D$15=1,Sheet1!C25&gt;0),5,IF(AND(Sheet1!$D$15=1,Sheet1!C25=0),0,IF(Sheet1!C26=0,0,15)))</f>
        <v>0</v>
      </c>
      <c r="D32" s="894"/>
      <c r="E32" s="860">
        <f>IF(AND(Sheet1!$D$15=1,OR(Sheet1!C25&gt;=6,Sheet1!C25=0)),0,1)*OR(IF(AND(Sheet1!$D$16=1,OR(Sheet1!C26&gt;=6,Sheet1!C26=0)),0,1))</f>
        <v>1</v>
      </c>
      <c r="F32" s="847">
        <f>IF(I28&lt;I33,"＊エラー!①から順に入力すること＊",0)</f>
        <v>0</v>
      </c>
      <c r="G32" s="848"/>
      <c r="H32" s="848"/>
      <c r="I32" s="848"/>
      <c r="J32" s="848"/>
      <c r="K32" s="849"/>
      <c r="L32" s="856"/>
      <c r="M32" s="856"/>
      <c r="N32" s="856"/>
      <c r="O32" s="856"/>
      <c r="P32" s="856"/>
      <c r="Q32" s="948">
        <f>IF(AJ34-AK34&lt;0,"入力エラー！所得のみエラー！",0)</f>
        <v>0</v>
      </c>
      <c r="R32" s="948"/>
      <c r="S32" s="948"/>
      <c r="T32" s="949"/>
      <c r="U32" s="211">
        <f>IF(C32=0,IF(I33+I35=0,0,"入力エラー!加入月のみ入力されている!"),IF(I33+I35=0,"入力エラー!加入月が入力されていない!",0))</f>
        <v>0</v>
      </c>
      <c r="V32" s="18"/>
      <c r="W32" s="18"/>
      <c r="X32" s="18"/>
      <c r="Y32" s="18"/>
      <c r="AG32" s="56"/>
      <c r="AH32" s="923" t="s">
        <v>69</v>
      </c>
      <c r="AI32" s="924">
        <f>IF(I33&gt;0,1,0)</f>
        <v>0</v>
      </c>
      <c r="AJ32" s="923" t="s">
        <v>71</v>
      </c>
      <c r="AK32" s="923" t="s">
        <v>72</v>
      </c>
      <c r="AL32" s="4"/>
      <c r="AM32" s="4"/>
      <c r="AN32" s="151"/>
    </row>
    <row r="33" spans="1:40" ht="16.5" customHeight="1">
      <c r="A33" s="951"/>
      <c r="B33" s="960"/>
      <c r="C33" s="891"/>
      <c r="D33" s="891"/>
      <c r="E33" s="861"/>
      <c r="F33" s="854" t="s">
        <v>62</v>
      </c>
      <c r="G33" s="855"/>
      <c r="H33" s="855"/>
      <c r="I33" s="1">
        <f>IF(C32=0,0,12)</f>
        <v>0</v>
      </c>
      <c r="J33" s="49" t="s">
        <v>5</v>
      </c>
      <c r="K33" s="246"/>
      <c r="L33" s="850" t="s">
        <v>64</v>
      </c>
      <c r="M33" s="850"/>
      <c r="N33" s="852">
        <f>IF(Sheet1!$D$15=1,Sheet1!J25,IF(Sheet1!J26=0,0,Sheet1!J26))</f>
        <v>0</v>
      </c>
      <c r="O33" s="852"/>
      <c r="P33" s="852"/>
      <c r="Q33" s="855" t="s">
        <v>65</v>
      </c>
      <c r="R33" s="946" t="s">
        <v>66</v>
      </c>
      <c r="S33" s="946"/>
      <c r="T33" s="947"/>
      <c r="U33" s="137">
        <f>IF(I33=0,0,IF(I33&lt;12,"＊＊資格変動あり？期割内訳使用禁止！保険料内訳は使用ＯＫ！",0))</f>
        <v>0</v>
      </c>
      <c r="V33" s="137"/>
      <c r="W33" s="137"/>
      <c r="X33" s="137"/>
      <c r="Y33" s="137"/>
      <c r="Z33" s="138"/>
      <c r="AG33" s="56"/>
      <c r="AH33" s="923"/>
      <c r="AI33" s="924"/>
      <c r="AJ33" s="923"/>
      <c r="AK33" s="923"/>
      <c r="AL33" s="4"/>
      <c r="AM33" s="4"/>
      <c r="AN33" s="151"/>
    </row>
    <row r="34" spans="1:40" ht="16.5" customHeight="1">
      <c r="A34" s="951"/>
      <c r="B34" s="960"/>
      <c r="C34" s="891"/>
      <c r="D34" s="891"/>
      <c r="E34" s="861"/>
      <c r="F34" s="887">
        <f>IF(I33-I35&lt;0,"加入月エラー！介護月より医療月少ない",0)</f>
        <v>0</v>
      </c>
      <c r="G34" s="888"/>
      <c r="H34" s="888"/>
      <c r="I34" s="888"/>
      <c r="J34" s="888"/>
      <c r="K34" s="889"/>
      <c r="L34" s="850"/>
      <c r="M34" s="850"/>
      <c r="N34" s="852"/>
      <c r="O34" s="852"/>
      <c r="P34" s="852"/>
      <c r="Q34" s="855"/>
      <c r="R34" s="882">
        <f>ROUNDDOWN(N33,-3)</f>
        <v>0</v>
      </c>
      <c r="S34" s="882"/>
      <c r="T34" s="925" t="s">
        <v>6</v>
      </c>
      <c r="U34" s="137">
        <f>IF(I35=0,0,IF(I35&lt;12,"＊＊資格異動あり？期割り内訳使用注意！年度途中64歳は計算ＯＫ",0))</f>
        <v>0</v>
      </c>
      <c r="V34" s="137"/>
      <c r="W34" s="137"/>
      <c r="X34" s="137"/>
      <c r="Y34" s="137"/>
      <c r="Z34" s="137"/>
      <c r="AG34" s="56"/>
      <c r="AH34" s="923" t="s">
        <v>70</v>
      </c>
      <c r="AI34" s="924">
        <f>IF(I35&gt;0,1,0)</f>
        <v>0</v>
      </c>
      <c r="AJ34" s="927">
        <f>IF(C32=0,0,1)</f>
        <v>0</v>
      </c>
      <c r="AK34" s="927">
        <f>IF(N33&gt;0,1,0)</f>
        <v>0</v>
      </c>
      <c r="AL34" s="4"/>
      <c r="AM34" s="4"/>
      <c r="AN34" s="151"/>
    </row>
    <row r="35" spans="1:40" ht="16.5" customHeight="1">
      <c r="A35" s="951"/>
      <c r="B35" s="961">
        <f>IF(AJ34-AI32&lt;0,"エラー",0)</f>
        <v>0</v>
      </c>
      <c r="C35" s="891"/>
      <c r="D35" s="891"/>
      <c r="E35" s="861"/>
      <c r="F35" s="854" t="s">
        <v>63</v>
      </c>
      <c r="G35" s="855"/>
      <c r="H35" s="855"/>
      <c r="I35" s="1">
        <f>IF(C32=0,0,IF(AND(C32=5,Sheet1!C25&gt;=40,Sheet1!C25&lt;65),12,IF(AND(C32=15,Sheet1!C26&gt;=40,Sheet1!C26&lt;65),12,0)))</f>
        <v>0</v>
      </c>
      <c r="J35" s="49" t="s">
        <v>5</v>
      </c>
      <c r="K35" s="246"/>
      <c r="L35" s="850"/>
      <c r="M35" s="850"/>
      <c r="N35" s="852"/>
      <c r="O35" s="852"/>
      <c r="P35" s="852"/>
      <c r="Q35" s="855"/>
      <c r="R35" s="882"/>
      <c r="S35" s="882"/>
      <c r="T35" s="925"/>
      <c r="U35" s="137">
        <f>IF(I33=0,0,IF(I33=12,0,"!！期割計算不可能!！"))</f>
        <v>0</v>
      </c>
      <c r="V35" s="139"/>
      <c r="W35" s="139"/>
      <c r="X35" s="139"/>
      <c r="Y35" s="139"/>
      <c r="Z35" s="139"/>
      <c r="AG35" s="56"/>
      <c r="AH35" s="923"/>
      <c r="AI35" s="924"/>
      <c r="AJ35" s="927"/>
      <c r="AK35" s="927"/>
      <c r="AL35" s="4"/>
      <c r="AM35" s="4"/>
      <c r="AN35" s="151"/>
    </row>
    <row r="36" spans="1:40" ht="16.5" customHeight="1">
      <c r="A36" s="952"/>
      <c r="B36" s="962"/>
      <c r="C36" s="892"/>
      <c r="D36" s="892"/>
      <c r="E36" s="862"/>
      <c r="F36" s="857">
        <f>IF(I30&lt;I35,"介護該当者は①から順に入力すること",0)</f>
        <v>0</v>
      </c>
      <c r="G36" s="858"/>
      <c r="H36" s="858"/>
      <c r="I36" s="858"/>
      <c r="J36" s="858"/>
      <c r="K36" s="859"/>
      <c r="L36" s="851"/>
      <c r="M36" s="851"/>
      <c r="N36" s="853"/>
      <c r="O36" s="853"/>
      <c r="P36" s="853"/>
      <c r="Q36" s="881"/>
      <c r="R36" s="883"/>
      <c r="S36" s="883"/>
      <c r="T36" s="926"/>
      <c r="U36" s="137">
        <f>IF(I35=0,0,IF(I35=12,0,"!！期割計算不可能!！"))</f>
        <v>0</v>
      </c>
      <c r="V36" s="140"/>
      <c r="W36" s="140"/>
      <c r="X36" s="140"/>
      <c r="Y36" s="140"/>
      <c r="Z36" s="140"/>
      <c r="AG36" s="56"/>
      <c r="AH36" s="4"/>
      <c r="AI36" s="4"/>
      <c r="AJ36" s="4"/>
      <c r="AK36" s="4"/>
      <c r="AL36" s="4"/>
      <c r="AM36" s="4"/>
      <c r="AN36" s="151"/>
    </row>
    <row r="37" spans="1:40" ht="16.5" customHeight="1">
      <c r="A37" s="950" t="s">
        <v>149</v>
      </c>
      <c r="B37" s="959" t="s">
        <v>67</v>
      </c>
      <c r="C37" s="894">
        <f>IF(AND(Sheet1!$D$15=1,Sheet1!C26&gt;0),6,IF(AND(Sheet1!$D$15=1,Sheet1!C26=0),0,IF(Sheet1!C27=0,0,16)))</f>
        <v>0</v>
      </c>
      <c r="D37" s="894"/>
      <c r="E37" s="860">
        <f>IF(AND(Sheet1!$D$15=1,OR(Sheet1!C26&gt;=6,Sheet1!C26=0)),0,1)*OR(IF(AND(Sheet1!$D$16=1,OR(Sheet1!C27&gt;=6,Sheet1!C27=0)),0,1))</f>
        <v>1</v>
      </c>
      <c r="F37" s="847">
        <f>IF(I33&lt;I38,"＊エラー!①から順に入力すること＊",0)</f>
        <v>0</v>
      </c>
      <c r="G37" s="848"/>
      <c r="H37" s="848"/>
      <c r="I37" s="848"/>
      <c r="J37" s="848"/>
      <c r="K37" s="849"/>
      <c r="L37" s="856"/>
      <c r="M37" s="856"/>
      <c r="N37" s="856"/>
      <c r="O37" s="856"/>
      <c r="P37" s="856"/>
      <c r="Q37" s="948">
        <f>IF(AJ39-AK39&lt;0,"入力エラー！所得のみエラー！",0)</f>
        <v>0</v>
      </c>
      <c r="R37" s="948"/>
      <c r="S37" s="948"/>
      <c r="T37" s="949"/>
      <c r="U37" s="211">
        <f>IF(C37=0,IF(I38+I40=0,0,"入力エラー!加入月のみ入力されている!"),IF(I38+I40=0,"入力エラー!加入月が入力されていない!",0))</f>
        <v>0</v>
      </c>
      <c r="V37" s="18"/>
      <c r="W37" s="18"/>
      <c r="X37" s="18"/>
      <c r="Y37" s="18"/>
      <c r="AG37" s="56"/>
      <c r="AH37" s="923" t="s">
        <v>69</v>
      </c>
      <c r="AI37" s="924">
        <f>IF(I38&gt;0,1,0)</f>
        <v>0</v>
      </c>
      <c r="AJ37" s="923" t="s">
        <v>71</v>
      </c>
      <c r="AK37" s="923" t="s">
        <v>72</v>
      </c>
      <c r="AL37" s="4"/>
      <c r="AM37" s="4"/>
      <c r="AN37" s="151"/>
    </row>
    <row r="38" spans="1:40" ht="16.5" customHeight="1">
      <c r="A38" s="951"/>
      <c r="B38" s="960"/>
      <c r="C38" s="891"/>
      <c r="D38" s="891"/>
      <c r="E38" s="861"/>
      <c r="F38" s="854" t="s">
        <v>62</v>
      </c>
      <c r="G38" s="855"/>
      <c r="H38" s="855"/>
      <c r="I38" s="1">
        <f>IF(C37=0,0,12)</f>
        <v>0</v>
      </c>
      <c r="J38" s="49" t="s">
        <v>5</v>
      </c>
      <c r="K38" s="246"/>
      <c r="L38" s="850" t="s">
        <v>64</v>
      </c>
      <c r="M38" s="850"/>
      <c r="N38" s="852">
        <f>IF(Sheet1!$D$15=1,Sheet1!J26,IF(Sheet1!J27=0,0,Sheet1!J27))</f>
        <v>0</v>
      </c>
      <c r="O38" s="852"/>
      <c r="P38" s="852"/>
      <c r="Q38" s="855" t="s">
        <v>65</v>
      </c>
      <c r="R38" s="946" t="s">
        <v>66</v>
      </c>
      <c r="S38" s="946"/>
      <c r="T38" s="947"/>
      <c r="U38" s="137">
        <f>IF(I38=0,0,IF(I38&lt;12,"＊＊資格変動あり？期割内訳使用禁止！保険料内訳は使用ＯＫ！",0))</f>
        <v>0</v>
      </c>
      <c r="V38" s="137"/>
      <c r="W38" s="137"/>
      <c r="X38" s="137"/>
      <c r="Y38" s="137"/>
      <c r="Z38" s="138"/>
      <c r="AG38" s="56"/>
      <c r="AH38" s="923"/>
      <c r="AI38" s="924"/>
      <c r="AJ38" s="923"/>
      <c r="AK38" s="923"/>
      <c r="AL38" s="4"/>
      <c r="AM38" s="4"/>
      <c r="AN38" s="151"/>
    </row>
    <row r="39" spans="1:40" ht="16.5" customHeight="1">
      <c r="A39" s="951"/>
      <c r="B39" s="960"/>
      <c r="C39" s="891"/>
      <c r="D39" s="891"/>
      <c r="E39" s="861"/>
      <c r="F39" s="887">
        <f>IF(I38-I40&lt;0,"加入月エラー！介護月より医療月少ない",0)</f>
        <v>0</v>
      </c>
      <c r="G39" s="888"/>
      <c r="H39" s="888"/>
      <c r="I39" s="888"/>
      <c r="J39" s="888"/>
      <c r="K39" s="889"/>
      <c r="L39" s="850"/>
      <c r="M39" s="850"/>
      <c r="N39" s="852"/>
      <c r="O39" s="852"/>
      <c r="P39" s="852"/>
      <c r="Q39" s="855"/>
      <c r="R39" s="882">
        <f>ROUNDDOWN(N38,-3)</f>
        <v>0</v>
      </c>
      <c r="S39" s="882"/>
      <c r="T39" s="925" t="s">
        <v>6</v>
      </c>
      <c r="U39" s="137">
        <f>IF(I40=0,0,IF(I40&lt;12,"＊＊資格異動あり？期割り内訳使用注意！年度途中64歳は計算ＯＫ",0))</f>
        <v>0</v>
      </c>
      <c r="V39" s="137"/>
      <c r="W39" s="137"/>
      <c r="X39" s="137"/>
      <c r="Y39" s="137"/>
      <c r="Z39" s="137"/>
      <c r="AG39" s="56"/>
      <c r="AH39" s="923" t="s">
        <v>70</v>
      </c>
      <c r="AI39" s="924">
        <f>IF(I40&gt;0,1,0)</f>
        <v>0</v>
      </c>
      <c r="AJ39" s="927">
        <f>IF(C37=0,0,1)</f>
        <v>0</v>
      </c>
      <c r="AK39" s="927">
        <f>IF(N38&gt;0,1,0)</f>
        <v>0</v>
      </c>
      <c r="AL39" s="4"/>
      <c r="AM39" s="4"/>
      <c r="AN39" s="151"/>
    </row>
    <row r="40" spans="1:40" ht="16.5" customHeight="1">
      <c r="A40" s="951"/>
      <c r="B40" s="961">
        <f>IF(AJ39-AI37&lt;0,"エラー",0)</f>
        <v>0</v>
      </c>
      <c r="C40" s="891"/>
      <c r="D40" s="891"/>
      <c r="E40" s="861"/>
      <c r="F40" s="854" t="s">
        <v>63</v>
      </c>
      <c r="G40" s="855"/>
      <c r="H40" s="855"/>
      <c r="I40" s="1">
        <f>IF(C37=0,0,IF(AND(C37=6,Sheet1!C26&gt;=40,Sheet1!C26&lt;65),12,IF(AND(C37=16,Sheet1!C27&gt;=40,Sheet1!C27&lt;65),12,0)))</f>
        <v>0</v>
      </c>
      <c r="J40" s="49" t="s">
        <v>5</v>
      </c>
      <c r="K40" s="246"/>
      <c r="L40" s="850"/>
      <c r="M40" s="850"/>
      <c r="N40" s="852"/>
      <c r="O40" s="852"/>
      <c r="P40" s="852"/>
      <c r="Q40" s="855"/>
      <c r="R40" s="882"/>
      <c r="S40" s="882"/>
      <c r="T40" s="925"/>
      <c r="U40" s="137">
        <f>IF(I38=0,0,IF(I38=12,0,"!！期割計算不可能!！"))</f>
        <v>0</v>
      </c>
      <c r="V40" s="139"/>
      <c r="W40" s="139"/>
      <c r="X40" s="139"/>
      <c r="Y40" s="139"/>
      <c r="Z40" s="139"/>
      <c r="AG40" s="56"/>
      <c r="AH40" s="923"/>
      <c r="AI40" s="924"/>
      <c r="AJ40" s="927"/>
      <c r="AK40" s="927"/>
      <c r="AL40" s="4"/>
      <c r="AM40" s="4"/>
      <c r="AN40" s="151"/>
    </row>
    <row r="41" spans="1:40" ht="16.5" customHeight="1">
      <c r="A41" s="952"/>
      <c r="B41" s="962"/>
      <c r="C41" s="892"/>
      <c r="D41" s="892"/>
      <c r="E41" s="862"/>
      <c r="F41" s="857">
        <f>IF(I35&lt;I40,"介護該当者は①から順に入力すること",0)</f>
        <v>0</v>
      </c>
      <c r="G41" s="858"/>
      <c r="H41" s="858"/>
      <c r="I41" s="858"/>
      <c r="J41" s="858"/>
      <c r="K41" s="859"/>
      <c r="L41" s="851"/>
      <c r="M41" s="851"/>
      <c r="N41" s="853"/>
      <c r="O41" s="853"/>
      <c r="P41" s="853"/>
      <c r="Q41" s="881"/>
      <c r="R41" s="883"/>
      <c r="S41" s="883"/>
      <c r="T41" s="926"/>
      <c r="U41" s="137">
        <f>IF(I40=0,0,IF(I40=12,0,"!！期割計算不可能!！"))</f>
        <v>0</v>
      </c>
      <c r="V41" s="140"/>
      <c r="W41" s="140"/>
      <c r="X41" s="140"/>
      <c r="Y41" s="140"/>
      <c r="Z41" s="140"/>
      <c r="AG41" s="56"/>
      <c r="AH41" s="4"/>
      <c r="AI41" s="4"/>
      <c r="AJ41" s="4"/>
      <c r="AK41" s="4"/>
      <c r="AL41" s="4"/>
      <c r="AM41" s="4"/>
      <c r="AN41" s="151"/>
    </row>
    <row r="42" spans="1:40" ht="16.5" customHeight="1">
      <c r="A42" s="950" t="s">
        <v>150</v>
      </c>
      <c r="B42" s="959" t="s">
        <v>67</v>
      </c>
      <c r="C42" s="894">
        <f>IF(AND(Sheet1!$D$15=1,Sheet1!C27&gt;0),7,0)</f>
        <v>0</v>
      </c>
      <c r="D42" s="894"/>
      <c r="E42" s="860">
        <f>IF(AND(Sheet1!$D$15=1,OR(Sheet1!C27&gt;=6,Sheet1!C27=0)),0,1)*OR(IF(AND(Sheet1!$D$16=1,OR(Sheet1!C28&gt;=6,Sheet1!C28=0)),0,1))</f>
        <v>1</v>
      </c>
      <c r="F42" s="847">
        <f>IF(I38&lt;I43,"＊エラー!①から順に入力すること＊",0)</f>
        <v>0</v>
      </c>
      <c r="G42" s="848"/>
      <c r="H42" s="848"/>
      <c r="I42" s="848"/>
      <c r="J42" s="848"/>
      <c r="K42" s="849"/>
      <c r="L42" s="856"/>
      <c r="M42" s="856"/>
      <c r="N42" s="856"/>
      <c r="O42" s="856"/>
      <c r="P42" s="856"/>
      <c r="Q42" s="948">
        <f>IF(AJ44-AK44&lt;0,"入力エラー！所得のみエラー！",0)</f>
        <v>0</v>
      </c>
      <c r="R42" s="948"/>
      <c r="S42" s="948"/>
      <c r="T42" s="949"/>
      <c r="U42" s="211">
        <f>IF(C42=0,IF(I43+I45=0,0,"入力エラー!加入月のみ入力されている!"),IF(I43+I45=0,"入力エラー!加入月が入力されていない!",0))</f>
        <v>0</v>
      </c>
      <c r="V42" s="18"/>
      <c r="W42" s="18"/>
      <c r="X42" s="18"/>
      <c r="Y42" s="18"/>
      <c r="AG42" s="56"/>
      <c r="AH42" s="923" t="s">
        <v>69</v>
      </c>
      <c r="AI42" s="924">
        <f>IF(I43&gt;0,1,0)</f>
        <v>0</v>
      </c>
      <c r="AJ42" s="923" t="s">
        <v>71</v>
      </c>
      <c r="AK42" s="923" t="s">
        <v>72</v>
      </c>
      <c r="AL42" s="4"/>
      <c r="AM42" s="4"/>
      <c r="AN42" s="151"/>
    </row>
    <row r="43" spans="1:40" ht="16.5" customHeight="1">
      <c r="A43" s="951"/>
      <c r="B43" s="960"/>
      <c r="C43" s="891"/>
      <c r="D43" s="891"/>
      <c r="E43" s="861"/>
      <c r="F43" s="854" t="s">
        <v>62</v>
      </c>
      <c r="G43" s="855"/>
      <c r="H43" s="855"/>
      <c r="I43" s="1">
        <f>IF(C42=0,0,12)</f>
        <v>0</v>
      </c>
      <c r="J43" s="712" t="s">
        <v>5</v>
      </c>
      <c r="K43" s="246"/>
      <c r="L43" s="850" t="s">
        <v>64</v>
      </c>
      <c r="M43" s="850"/>
      <c r="N43" s="852">
        <f>IF(Sheet1!$D$15=1,Sheet1!J27,IF(Sheet1!J26=0,0,Sheet1!J26))</f>
        <v>0</v>
      </c>
      <c r="O43" s="852"/>
      <c r="P43" s="852"/>
      <c r="Q43" s="855" t="s">
        <v>65</v>
      </c>
      <c r="R43" s="946" t="s">
        <v>66</v>
      </c>
      <c r="S43" s="946"/>
      <c r="T43" s="947"/>
      <c r="U43" s="137">
        <f>IF(I43=0,0,IF(I43&lt;12,"＊＊資格変動あり？期割内訳使用禁止！保険料内訳は使用ＯＫ！",0))</f>
        <v>0</v>
      </c>
      <c r="V43" s="137"/>
      <c r="W43" s="137"/>
      <c r="X43" s="137"/>
      <c r="Y43" s="137"/>
      <c r="Z43" s="138"/>
      <c r="AG43" s="56"/>
      <c r="AH43" s="923"/>
      <c r="AI43" s="924"/>
      <c r="AJ43" s="923"/>
      <c r="AK43" s="923"/>
      <c r="AL43" s="4"/>
      <c r="AM43" s="4"/>
      <c r="AN43" s="151"/>
    </row>
    <row r="44" spans="1:40" ht="16.5" customHeight="1">
      <c r="A44" s="951"/>
      <c r="B44" s="960"/>
      <c r="C44" s="891"/>
      <c r="D44" s="891"/>
      <c r="E44" s="861"/>
      <c r="F44" s="887">
        <f>IF(I43-I45&lt;0,"加入月エラー！介護月より医療月少ない",0)</f>
        <v>0</v>
      </c>
      <c r="G44" s="888"/>
      <c r="H44" s="888"/>
      <c r="I44" s="888"/>
      <c r="J44" s="888"/>
      <c r="K44" s="889"/>
      <c r="L44" s="850"/>
      <c r="M44" s="850"/>
      <c r="N44" s="852"/>
      <c r="O44" s="852"/>
      <c r="P44" s="852"/>
      <c r="Q44" s="855"/>
      <c r="R44" s="882">
        <f>ROUNDDOWN(N43,-3)</f>
        <v>0</v>
      </c>
      <c r="S44" s="882"/>
      <c r="T44" s="925" t="s">
        <v>6</v>
      </c>
      <c r="U44" s="137">
        <f>IF(I45=0,0,IF(I45&lt;12,"＊＊資格異動あり？期割り内訳使用注意！年度途中64歳は計算ＯＫ",0))</f>
        <v>0</v>
      </c>
      <c r="V44" s="137"/>
      <c r="W44" s="137"/>
      <c r="X44" s="137"/>
      <c r="Y44" s="137"/>
      <c r="Z44" s="137"/>
      <c r="AG44" s="56"/>
      <c r="AH44" s="923" t="s">
        <v>70</v>
      </c>
      <c r="AI44" s="924">
        <f>IF(I45&gt;0,1,0)</f>
        <v>0</v>
      </c>
      <c r="AJ44" s="927">
        <f>IF(C42=0,0,1)</f>
        <v>0</v>
      </c>
      <c r="AK44" s="927">
        <f>IF(N43&gt;0,1,0)</f>
        <v>0</v>
      </c>
      <c r="AL44" s="4"/>
      <c r="AM44" s="4"/>
      <c r="AN44" s="151"/>
    </row>
    <row r="45" spans="1:40" ht="16.5" customHeight="1">
      <c r="A45" s="951"/>
      <c r="B45" s="961">
        <f>IF(AJ44-AI42&lt;0,"エラー",0)</f>
        <v>0</v>
      </c>
      <c r="C45" s="891"/>
      <c r="D45" s="891"/>
      <c r="E45" s="861"/>
      <c r="F45" s="854" t="s">
        <v>63</v>
      </c>
      <c r="G45" s="855"/>
      <c r="H45" s="855"/>
      <c r="I45" s="1">
        <f>IF(C42=0,0,IF(AND(C42=7,Sheet1!C27&gt;=40,Sheet1!C27&lt;65),12,0))</f>
        <v>0</v>
      </c>
      <c r="J45" s="712" t="s">
        <v>5</v>
      </c>
      <c r="K45" s="246"/>
      <c r="L45" s="850"/>
      <c r="M45" s="850"/>
      <c r="N45" s="852"/>
      <c r="O45" s="852"/>
      <c r="P45" s="852"/>
      <c r="Q45" s="855"/>
      <c r="R45" s="882"/>
      <c r="S45" s="882"/>
      <c r="T45" s="925"/>
      <c r="U45" s="137">
        <f>IF(I43=0,0,IF(I43=12,0,"!！期割計算不可能!！"))</f>
        <v>0</v>
      </c>
      <c r="V45" s="139"/>
      <c r="W45" s="139"/>
      <c r="X45" s="139"/>
      <c r="Y45" s="139"/>
      <c r="Z45" s="139"/>
      <c r="AG45" s="56"/>
      <c r="AH45" s="923"/>
      <c r="AI45" s="924"/>
      <c r="AJ45" s="927"/>
      <c r="AK45" s="927"/>
      <c r="AL45" s="4"/>
      <c r="AM45" s="4"/>
      <c r="AN45" s="151"/>
    </row>
    <row r="46" spans="1:40" ht="16.5" customHeight="1" thickBot="1">
      <c r="A46" s="976"/>
      <c r="B46" s="974"/>
      <c r="C46" s="975"/>
      <c r="D46" s="975"/>
      <c r="E46" s="863"/>
      <c r="F46" s="954">
        <f>IF(I40&lt;I45,"介護該当者は①から順に入力すること",0)</f>
        <v>0</v>
      </c>
      <c r="G46" s="955"/>
      <c r="H46" s="955"/>
      <c r="I46" s="955"/>
      <c r="J46" s="955"/>
      <c r="K46" s="956"/>
      <c r="L46" s="970"/>
      <c r="M46" s="970"/>
      <c r="N46" s="953"/>
      <c r="O46" s="953"/>
      <c r="P46" s="953"/>
      <c r="Q46" s="958"/>
      <c r="R46" s="969"/>
      <c r="S46" s="969"/>
      <c r="T46" s="957"/>
      <c r="U46" s="137">
        <f>IF(I45=0,0,IF(I45=12,0,"!！期割計算不可能!！"))</f>
        <v>0</v>
      </c>
      <c r="V46" s="140"/>
      <c r="W46" s="140"/>
      <c r="X46" s="140"/>
      <c r="Y46" s="140"/>
      <c r="Z46" s="140"/>
      <c r="AG46" s="56"/>
      <c r="AH46" s="4"/>
      <c r="AI46" s="4"/>
      <c r="AJ46" s="4"/>
      <c r="AK46" s="4"/>
      <c r="AL46" s="4"/>
      <c r="AM46" s="4"/>
      <c r="AN46" s="151"/>
    </row>
    <row r="47" spans="1:40" ht="18.75" thickTop="1" thickBot="1">
      <c r="AG47" s="120"/>
      <c r="AH47" s="121"/>
      <c r="AI47" s="121"/>
      <c r="AJ47" s="121"/>
      <c r="AK47" s="121"/>
      <c r="AL47" s="121"/>
      <c r="AM47" s="121"/>
      <c r="AN47" s="152"/>
    </row>
    <row r="48" spans="1:40" ht="30" customHeight="1"/>
    <row r="49" spans="2:45" ht="30" customHeight="1"/>
    <row r="50" spans="2:45" ht="30" customHeight="1"/>
    <row r="51" spans="2:45" ht="30" customHeight="1"/>
    <row r="52" spans="2:45" ht="30" customHeight="1"/>
    <row r="53" spans="2:45" ht="30" customHeight="1"/>
    <row r="54" spans="2:45" ht="30" customHeight="1"/>
    <row r="55" spans="2:45" ht="30" customHeight="1"/>
    <row r="56" spans="2:45" ht="30" customHeight="1" thickBot="1"/>
    <row r="57" spans="2:45" ht="38.25" customHeight="1">
      <c r="B57" s="971" t="s">
        <v>158</v>
      </c>
      <c r="C57" s="972"/>
      <c r="D57" s="972"/>
      <c r="E57" s="972"/>
      <c r="F57" s="972"/>
      <c r="G57" s="972"/>
      <c r="H57" s="972"/>
      <c r="I57" s="972"/>
      <c r="J57" s="972"/>
      <c r="K57" s="972"/>
      <c r="L57" s="972"/>
      <c r="M57" s="972"/>
      <c r="N57" s="972"/>
      <c r="O57" s="972"/>
      <c r="P57" s="972"/>
      <c r="Q57" s="973"/>
      <c r="AH57" s="3"/>
      <c r="AS57" s="2"/>
    </row>
    <row r="58" spans="2:45">
      <c r="B58" s="56"/>
      <c r="C58" s="12"/>
      <c r="D58" s="12"/>
      <c r="E58" s="12"/>
      <c r="F58" s="12"/>
      <c r="G58" s="12"/>
      <c r="H58" s="12"/>
      <c r="I58" s="12"/>
      <c r="J58" s="50"/>
      <c r="K58" s="12"/>
      <c r="L58" s="12"/>
      <c r="M58" s="12"/>
      <c r="N58" s="12"/>
      <c r="O58" s="12"/>
      <c r="P58" s="94"/>
      <c r="Q58" s="247"/>
      <c r="AH58" s="3"/>
      <c r="AS58" s="2"/>
    </row>
    <row r="59" spans="2:45">
      <c r="B59" s="56"/>
      <c r="C59" s="12"/>
      <c r="D59" s="12"/>
      <c r="E59" s="12"/>
      <c r="F59" s="12"/>
      <c r="G59" s="12"/>
      <c r="H59" s="12"/>
      <c r="I59" s="12"/>
      <c r="J59" s="50"/>
      <c r="K59" s="12"/>
      <c r="L59" s="12"/>
      <c r="M59" s="12"/>
      <c r="N59" s="12"/>
      <c r="O59" s="12"/>
      <c r="P59" s="94"/>
      <c r="Q59" s="247"/>
      <c r="AH59" s="3"/>
      <c r="AS59" s="2"/>
    </row>
    <row r="60" spans="2:45" ht="29.25" customHeight="1">
      <c r="B60" s="56"/>
      <c r="C60" s="980"/>
      <c r="D60" s="980"/>
      <c r="E60" s="980"/>
      <c r="F60" s="980"/>
      <c r="G60" s="980"/>
      <c r="H60" s="980"/>
      <c r="I60" s="980"/>
      <c r="J60" s="980"/>
      <c r="K60" s="980"/>
      <c r="L60" s="980"/>
      <c r="M60" s="980"/>
      <c r="N60" s="980"/>
      <c r="O60" s="12"/>
      <c r="P60" s="94"/>
      <c r="Q60" s="247"/>
      <c r="AH60" s="3"/>
      <c r="AS60" s="2"/>
    </row>
    <row r="61" spans="2:45" ht="29.25" customHeight="1" thickBot="1">
      <c r="B61" s="248"/>
      <c r="C61" s="249" t="s">
        <v>16</v>
      </c>
      <c r="D61" s="4"/>
      <c r="E61" s="4"/>
      <c r="F61" s="4"/>
      <c r="G61" s="4"/>
      <c r="H61" s="12"/>
      <c r="I61" s="250"/>
      <c r="J61" s="250"/>
      <c r="K61" s="250"/>
      <c r="L61" s="250"/>
      <c r="M61" s="12"/>
      <c r="N61" s="12"/>
      <c r="O61" s="12"/>
      <c r="P61" s="94"/>
      <c r="Q61" s="247"/>
      <c r="S61" s="12"/>
      <c r="AH61" s="3"/>
      <c r="AS61" s="2"/>
    </row>
    <row r="62" spans="2:45" ht="29.25" customHeight="1" thickTop="1">
      <c r="B62" s="248"/>
      <c r="C62" s="977"/>
      <c r="D62" s="978"/>
      <c r="E62" s="835" t="s">
        <v>19</v>
      </c>
      <c r="F62" s="835"/>
      <c r="G62" s="845">
        <v>7</v>
      </c>
      <c r="H62" s="864"/>
      <c r="I62" s="865"/>
      <c r="J62" s="845">
        <v>5</v>
      </c>
      <c r="K62" s="846"/>
      <c r="L62" s="846"/>
      <c r="M62" s="846"/>
      <c r="N62" s="845">
        <v>2</v>
      </c>
      <c r="O62" s="984"/>
      <c r="P62" s="985"/>
      <c r="Q62" s="13"/>
      <c r="R62" s="12"/>
      <c r="S62" s="94"/>
      <c r="AH62" s="3"/>
      <c r="AS62" s="2"/>
    </row>
    <row r="63" spans="2:45" ht="29.25" customHeight="1">
      <c r="B63" s="248"/>
      <c r="C63" s="828" t="s">
        <v>0</v>
      </c>
      <c r="D63" s="979"/>
      <c r="E63" s="837">
        <v>8.98</v>
      </c>
      <c r="F63" s="837"/>
      <c r="G63" s="817"/>
      <c r="H63" s="841"/>
      <c r="I63" s="842"/>
      <c r="J63" s="817"/>
      <c r="K63" s="818"/>
      <c r="L63" s="818"/>
      <c r="M63" s="818"/>
      <c r="N63" s="817"/>
      <c r="O63" s="818"/>
      <c r="P63" s="819"/>
      <c r="Q63" s="13"/>
      <c r="R63" s="12"/>
      <c r="S63" s="94"/>
      <c r="AH63" s="3"/>
      <c r="AS63" s="2"/>
    </row>
    <row r="64" spans="2:45" ht="29.25" customHeight="1">
      <c r="B64" s="248"/>
      <c r="C64" s="828" t="s">
        <v>17</v>
      </c>
      <c r="D64" s="979"/>
      <c r="E64" s="826">
        <v>26060</v>
      </c>
      <c r="F64" s="826"/>
      <c r="G64" s="811">
        <f>ROUNDUP(E64*G62/10,-1)</f>
        <v>18250</v>
      </c>
      <c r="H64" s="843"/>
      <c r="I64" s="844"/>
      <c r="J64" s="811">
        <f>ROUNDUP(E64*J62/10,-1)</f>
        <v>13030</v>
      </c>
      <c r="K64" s="812"/>
      <c r="L64" s="812"/>
      <c r="M64" s="812"/>
      <c r="N64" s="811">
        <f>ROUNDUP(E64*N62/10,-1)</f>
        <v>5220</v>
      </c>
      <c r="O64" s="812"/>
      <c r="P64" s="813"/>
      <c r="Q64" s="13"/>
      <c r="R64" s="12"/>
      <c r="S64" s="94"/>
      <c r="AH64" s="3"/>
      <c r="AS64" s="2"/>
    </row>
    <row r="65" spans="2:45" ht="29.25" customHeight="1">
      <c r="B65" s="248"/>
      <c r="C65" s="828" t="s">
        <v>1</v>
      </c>
      <c r="D65" s="979"/>
      <c r="E65" s="826">
        <v>27270</v>
      </c>
      <c r="F65" s="827"/>
      <c r="G65" s="811">
        <f>ROUNDUP(E65*G62/10,-1)</f>
        <v>19090</v>
      </c>
      <c r="H65" s="843"/>
      <c r="I65" s="844"/>
      <c r="J65" s="811">
        <f>ROUNDUP(E65*J62/10,-1)</f>
        <v>13640</v>
      </c>
      <c r="K65" s="812"/>
      <c r="L65" s="812"/>
      <c r="M65" s="812"/>
      <c r="N65" s="811">
        <f>ROUNDUP(E65*N62/10,-1)</f>
        <v>5460</v>
      </c>
      <c r="O65" s="812"/>
      <c r="P65" s="813"/>
      <c r="Q65" s="13"/>
      <c r="R65" s="12"/>
      <c r="S65" s="94"/>
      <c r="AH65" s="3"/>
      <c r="AS65" s="2"/>
    </row>
    <row r="66" spans="2:45" ht="29.25" customHeight="1">
      <c r="B66" s="248"/>
      <c r="C66" s="828" t="s">
        <v>18</v>
      </c>
      <c r="D66" s="979"/>
      <c r="E66" s="826">
        <v>660000</v>
      </c>
      <c r="F66" s="827"/>
      <c r="G66" s="817"/>
      <c r="H66" s="841"/>
      <c r="I66" s="842"/>
      <c r="J66" s="817"/>
      <c r="K66" s="818"/>
      <c r="L66" s="818"/>
      <c r="M66" s="818"/>
      <c r="N66" s="817"/>
      <c r="O66" s="818"/>
      <c r="P66" s="819"/>
      <c r="Q66" s="13"/>
      <c r="R66" s="12"/>
      <c r="S66" s="94"/>
      <c r="AH66" s="3"/>
      <c r="AS66" s="2"/>
    </row>
    <row r="67" spans="2:45" ht="29.25" customHeight="1">
      <c r="B67" s="248"/>
      <c r="C67" s="824" t="s">
        <v>21</v>
      </c>
      <c r="D67" s="991"/>
      <c r="E67" s="809">
        <v>430000</v>
      </c>
      <c r="F67" s="810"/>
      <c r="G67" s="986"/>
      <c r="H67" s="989"/>
      <c r="I67" s="990"/>
      <c r="J67" s="986"/>
      <c r="K67" s="987"/>
      <c r="L67" s="987"/>
      <c r="M67" s="987"/>
      <c r="N67" s="986"/>
      <c r="O67" s="987"/>
      <c r="P67" s="988"/>
      <c r="Q67" s="13"/>
      <c r="R67" s="12"/>
      <c r="S67" s="94"/>
      <c r="AH67" s="3"/>
      <c r="AS67" s="2"/>
    </row>
    <row r="68" spans="2:45" ht="28.5" customHeight="1" thickBot="1">
      <c r="B68" s="248"/>
      <c r="C68" s="803" t="s">
        <v>468</v>
      </c>
      <c r="D68" s="804"/>
      <c r="E68" s="805">
        <f>ROUNDUP(E64/2,-1)</f>
        <v>13030</v>
      </c>
      <c r="F68" s="806"/>
      <c r="G68" s="800">
        <f>ROUNDUP((E64-G64)*0.5,-1)</f>
        <v>3910</v>
      </c>
      <c r="H68" s="807"/>
      <c r="I68" s="808"/>
      <c r="J68" s="800">
        <f>ROUNDUP((E64-J64)*0.5,-1)</f>
        <v>6520</v>
      </c>
      <c r="K68" s="801"/>
      <c r="L68" s="801"/>
      <c r="M68" s="801"/>
      <c r="N68" s="800">
        <f>ROUNDUP((E64-N64)*0.5,-1)</f>
        <v>10420</v>
      </c>
      <c r="O68" s="801"/>
      <c r="P68" s="802"/>
      <c r="Q68" s="247"/>
      <c r="AH68" s="3"/>
      <c r="AS68" s="2"/>
    </row>
    <row r="69" spans="2:45" ht="18" thickTop="1">
      <c r="B69" s="248"/>
      <c r="C69" s="4"/>
      <c r="D69" s="74"/>
      <c r="E69" s="84"/>
      <c r="F69" s="84"/>
      <c r="G69" s="84"/>
      <c r="H69" s="12"/>
      <c r="I69" s="250"/>
      <c r="J69" s="250"/>
      <c r="K69" s="250"/>
      <c r="L69" s="250"/>
      <c r="M69" s="12"/>
      <c r="N69" s="12"/>
      <c r="O69" s="12"/>
      <c r="P69" s="94"/>
      <c r="Q69" s="247"/>
      <c r="AH69" s="3"/>
      <c r="AS69" s="2"/>
    </row>
    <row r="70" spans="2:45" ht="24.75" thickBot="1">
      <c r="B70" s="248"/>
      <c r="C70" s="816" t="s">
        <v>162</v>
      </c>
      <c r="D70" s="816"/>
      <c r="E70" s="816"/>
      <c r="F70" s="816"/>
      <c r="G70" s="816"/>
      <c r="H70" s="816"/>
      <c r="I70" s="816"/>
      <c r="J70" s="816"/>
      <c r="K70" s="816"/>
      <c r="L70" s="816"/>
      <c r="M70" s="816"/>
      <c r="N70" s="816"/>
      <c r="O70" s="12"/>
      <c r="P70" s="94"/>
      <c r="Q70" s="247"/>
      <c r="AH70" s="3"/>
      <c r="AS70" s="2"/>
    </row>
    <row r="71" spans="2:45" ht="29.25" customHeight="1" thickTop="1">
      <c r="B71" s="248"/>
      <c r="C71" s="838"/>
      <c r="D71" s="836"/>
      <c r="E71" s="835" t="s">
        <v>19</v>
      </c>
      <c r="F71" s="836"/>
      <c r="G71" s="822">
        <v>7</v>
      </c>
      <c r="H71" s="823"/>
      <c r="I71" s="823"/>
      <c r="J71" s="822">
        <v>5</v>
      </c>
      <c r="K71" s="823"/>
      <c r="L71" s="823"/>
      <c r="M71" s="823"/>
      <c r="N71" s="845">
        <v>2</v>
      </c>
      <c r="O71" s="984"/>
      <c r="P71" s="985"/>
      <c r="Q71" s="247"/>
      <c r="AH71" s="3"/>
      <c r="AS71" s="2"/>
    </row>
    <row r="72" spans="2:45" ht="29.25" customHeight="1">
      <c r="B72" s="248"/>
      <c r="C72" s="828" t="s">
        <v>0</v>
      </c>
      <c r="D72" s="829"/>
      <c r="E72" s="837">
        <v>3.02</v>
      </c>
      <c r="F72" s="827"/>
      <c r="G72" s="814"/>
      <c r="H72" s="815"/>
      <c r="I72" s="815"/>
      <c r="J72" s="814"/>
      <c r="K72" s="815"/>
      <c r="L72" s="815"/>
      <c r="M72" s="815"/>
      <c r="N72" s="817"/>
      <c r="O72" s="818"/>
      <c r="P72" s="819"/>
      <c r="Q72" s="247"/>
      <c r="AH72" s="3"/>
      <c r="AS72" s="2"/>
    </row>
    <row r="73" spans="2:45" ht="29.25" customHeight="1">
      <c r="B73" s="248"/>
      <c r="C73" s="828" t="s">
        <v>17</v>
      </c>
      <c r="D73" s="829"/>
      <c r="E73" s="826">
        <v>9170</v>
      </c>
      <c r="F73" s="827"/>
      <c r="G73" s="830">
        <f>ROUNDUP(E73*G71/10,-1)</f>
        <v>6420</v>
      </c>
      <c r="H73" s="831"/>
      <c r="I73" s="831"/>
      <c r="J73" s="830">
        <f>ROUNDUP(E73*J71/10,-1)</f>
        <v>4590</v>
      </c>
      <c r="K73" s="831"/>
      <c r="L73" s="831"/>
      <c r="M73" s="831"/>
      <c r="N73" s="811">
        <f>ROUNDUP(E73*N71/10,-1)</f>
        <v>1840</v>
      </c>
      <c r="O73" s="812"/>
      <c r="P73" s="813"/>
      <c r="Q73" s="247"/>
      <c r="AH73" s="3"/>
      <c r="AS73" s="2"/>
    </row>
    <row r="74" spans="2:45" ht="29.25" customHeight="1">
      <c r="B74" s="248"/>
      <c r="C74" s="828" t="s">
        <v>1</v>
      </c>
      <c r="D74" s="829"/>
      <c r="E74" s="826">
        <v>9420</v>
      </c>
      <c r="F74" s="827"/>
      <c r="G74" s="830">
        <f>ROUNDUP(E74*G71/10,-1)</f>
        <v>6600</v>
      </c>
      <c r="H74" s="831"/>
      <c r="I74" s="831"/>
      <c r="J74" s="830">
        <f>ROUNDUP(E74*J71/10,-1)</f>
        <v>4710</v>
      </c>
      <c r="K74" s="831"/>
      <c r="L74" s="831"/>
      <c r="M74" s="831"/>
      <c r="N74" s="811">
        <f>ROUNDUP(E74*N71/10,-1)</f>
        <v>1890</v>
      </c>
      <c r="O74" s="812"/>
      <c r="P74" s="813"/>
      <c r="Q74" s="247"/>
      <c r="AH74" s="3"/>
      <c r="AS74" s="2"/>
    </row>
    <row r="75" spans="2:45" ht="29.25" customHeight="1">
      <c r="B75" s="248"/>
      <c r="C75" s="828" t="s">
        <v>18</v>
      </c>
      <c r="D75" s="829"/>
      <c r="E75" s="826">
        <v>260000</v>
      </c>
      <c r="F75" s="827"/>
      <c r="G75" s="814"/>
      <c r="H75" s="815"/>
      <c r="I75" s="815"/>
      <c r="J75" s="814"/>
      <c r="K75" s="815"/>
      <c r="L75" s="815"/>
      <c r="M75" s="815"/>
      <c r="N75" s="817"/>
      <c r="O75" s="818"/>
      <c r="P75" s="819"/>
      <c r="Q75" s="247"/>
      <c r="AH75" s="3"/>
      <c r="AS75" s="2"/>
    </row>
    <row r="76" spans="2:45" ht="29.25" customHeight="1">
      <c r="B76" s="248"/>
      <c r="C76" s="824" t="s">
        <v>21</v>
      </c>
      <c r="D76" s="825"/>
      <c r="E76" s="809">
        <v>430000</v>
      </c>
      <c r="F76" s="810"/>
      <c r="G76" s="820"/>
      <c r="H76" s="821"/>
      <c r="I76" s="821"/>
      <c r="J76" s="820"/>
      <c r="K76" s="821"/>
      <c r="L76" s="821"/>
      <c r="M76" s="821"/>
      <c r="N76" s="986"/>
      <c r="O76" s="987"/>
      <c r="P76" s="988"/>
      <c r="Q76" s="247"/>
      <c r="AH76" s="3"/>
      <c r="AS76" s="2"/>
    </row>
    <row r="77" spans="2:45" ht="28.5" customHeight="1" thickBot="1">
      <c r="B77" s="248"/>
      <c r="C77" s="803" t="s">
        <v>468</v>
      </c>
      <c r="D77" s="804"/>
      <c r="E77" s="805">
        <f>ROUNDUP(E73/2,-1)</f>
        <v>4590</v>
      </c>
      <c r="F77" s="806"/>
      <c r="G77" s="800">
        <f>ROUNDUP((E73-G73)*0.5,-1)</f>
        <v>1380</v>
      </c>
      <c r="H77" s="807"/>
      <c r="I77" s="808"/>
      <c r="J77" s="800">
        <f>ROUNDUP((E73-J73)*0.5,-1)</f>
        <v>2290</v>
      </c>
      <c r="K77" s="801"/>
      <c r="L77" s="801"/>
      <c r="M77" s="801"/>
      <c r="N77" s="800">
        <f>ROUNDUP((E73-N73)*0.5,-1)</f>
        <v>3670</v>
      </c>
      <c r="O77" s="801"/>
      <c r="P77" s="802"/>
      <c r="Q77" s="247"/>
      <c r="AH77" s="3"/>
      <c r="AS77" s="2"/>
    </row>
    <row r="78" spans="2:45" ht="18" thickTop="1">
      <c r="B78" s="248"/>
      <c r="C78" s="4"/>
      <c r="D78" s="4"/>
      <c r="E78" s="4"/>
      <c r="F78" s="4"/>
      <c r="G78" s="4"/>
      <c r="H78" s="12"/>
      <c r="I78" s="250"/>
      <c r="J78" s="250"/>
      <c r="K78" s="250"/>
      <c r="L78" s="250"/>
      <c r="M78" s="12"/>
      <c r="N78" s="12"/>
      <c r="O78" s="12"/>
      <c r="P78" s="94"/>
      <c r="Q78" s="247"/>
      <c r="AH78" s="3"/>
      <c r="AS78" s="2"/>
    </row>
    <row r="79" spans="2:45" ht="24.75" thickBot="1">
      <c r="B79" s="248"/>
      <c r="C79" s="816" t="s">
        <v>20</v>
      </c>
      <c r="D79" s="816"/>
      <c r="E79" s="816"/>
      <c r="F79" s="816"/>
      <c r="G79" s="816"/>
      <c r="H79" s="816"/>
      <c r="I79" s="816"/>
      <c r="J79" s="816"/>
      <c r="K79" s="816"/>
      <c r="L79" s="816"/>
      <c r="M79" s="816"/>
      <c r="N79" s="816"/>
      <c r="O79" s="12"/>
      <c r="P79" s="94"/>
      <c r="Q79" s="247"/>
      <c r="AH79" s="3"/>
      <c r="AS79" s="2"/>
    </row>
    <row r="80" spans="2:45" ht="29.25" customHeight="1" thickTop="1">
      <c r="B80" s="248"/>
      <c r="C80" s="838"/>
      <c r="D80" s="836"/>
      <c r="E80" s="835" t="s">
        <v>19</v>
      </c>
      <c r="F80" s="836"/>
      <c r="G80" s="822">
        <v>7</v>
      </c>
      <c r="H80" s="823"/>
      <c r="I80" s="823"/>
      <c r="J80" s="822">
        <v>5</v>
      </c>
      <c r="K80" s="823"/>
      <c r="L80" s="823"/>
      <c r="M80" s="823"/>
      <c r="N80" s="845">
        <v>2</v>
      </c>
      <c r="O80" s="984"/>
      <c r="P80" s="985"/>
      <c r="Q80" s="247"/>
      <c r="AH80" s="3"/>
      <c r="AS80" s="2"/>
    </row>
    <row r="81" spans="2:45" ht="29.25" customHeight="1">
      <c r="B81" s="248"/>
      <c r="C81" s="828" t="s">
        <v>0</v>
      </c>
      <c r="D81" s="829"/>
      <c r="E81" s="837">
        <v>2.69</v>
      </c>
      <c r="F81" s="827"/>
      <c r="G81" s="814"/>
      <c r="H81" s="815"/>
      <c r="I81" s="815"/>
      <c r="J81" s="814"/>
      <c r="K81" s="815"/>
      <c r="L81" s="815"/>
      <c r="M81" s="815"/>
      <c r="N81" s="817"/>
      <c r="O81" s="818"/>
      <c r="P81" s="819"/>
      <c r="Q81" s="247"/>
      <c r="AH81" s="3"/>
      <c r="AS81" s="2"/>
    </row>
    <row r="82" spans="2:45" ht="29.25" customHeight="1">
      <c r="B82" s="248"/>
      <c r="C82" s="828" t="s">
        <v>17</v>
      </c>
      <c r="D82" s="829"/>
      <c r="E82" s="826">
        <v>7760</v>
      </c>
      <c r="F82" s="827"/>
      <c r="G82" s="830">
        <f>ROUNDUP(E82*G80/10,-1)</f>
        <v>5440</v>
      </c>
      <c r="H82" s="831"/>
      <c r="I82" s="831"/>
      <c r="J82" s="830">
        <f>ROUNDUP(E82*J80/10,-1)</f>
        <v>3880</v>
      </c>
      <c r="K82" s="831"/>
      <c r="L82" s="831"/>
      <c r="M82" s="831"/>
      <c r="N82" s="811">
        <f>ROUNDUP(E82*N80/10,-1)</f>
        <v>1560</v>
      </c>
      <c r="O82" s="812"/>
      <c r="P82" s="813"/>
      <c r="Q82" s="247"/>
      <c r="AH82" s="3"/>
      <c r="AS82" s="2"/>
    </row>
    <row r="83" spans="2:45" ht="29.25" customHeight="1">
      <c r="B83" s="248"/>
      <c r="C83" s="828" t="s">
        <v>1</v>
      </c>
      <c r="D83" s="829"/>
      <c r="E83" s="826">
        <v>6100</v>
      </c>
      <c r="F83" s="827"/>
      <c r="G83" s="830">
        <f>ROUNDUP(E83*G80/10,-1)</f>
        <v>4270</v>
      </c>
      <c r="H83" s="831"/>
      <c r="I83" s="831"/>
      <c r="J83" s="830">
        <f>ROUNDUP(E83*J80/10,-1)</f>
        <v>3050</v>
      </c>
      <c r="K83" s="831"/>
      <c r="L83" s="831"/>
      <c r="M83" s="831"/>
      <c r="N83" s="811">
        <f>ROUNDUP(E83*N80/10,-1)</f>
        <v>1220</v>
      </c>
      <c r="O83" s="812"/>
      <c r="P83" s="813"/>
      <c r="Q83" s="247"/>
      <c r="AH83" s="3"/>
      <c r="AS83" s="2"/>
    </row>
    <row r="84" spans="2:45" ht="29.25" customHeight="1">
      <c r="B84" s="248"/>
      <c r="C84" s="828" t="s">
        <v>18</v>
      </c>
      <c r="D84" s="829"/>
      <c r="E84" s="826">
        <v>170000</v>
      </c>
      <c r="F84" s="827"/>
      <c r="G84" s="814"/>
      <c r="H84" s="815"/>
      <c r="I84" s="815"/>
      <c r="J84" s="814"/>
      <c r="K84" s="815"/>
      <c r="L84" s="815"/>
      <c r="M84" s="815"/>
      <c r="N84" s="817"/>
      <c r="O84" s="818"/>
      <c r="P84" s="819"/>
      <c r="Q84" s="247"/>
      <c r="AH84" s="3"/>
      <c r="AS84" s="2"/>
    </row>
    <row r="85" spans="2:45" ht="29.25" customHeight="1" thickBot="1">
      <c r="B85" s="248"/>
      <c r="C85" s="803" t="s">
        <v>21</v>
      </c>
      <c r="D85" s="834"/>
      <c r="E85" s="839">
        <v>430000</v>
      </c>
      <c r="F85" s="840"/>
      <c r="G85" s="832"/>
      <c r="H85" s="833"/>
      <c r="I85" s="833"/>
      <c r="J85" s="832"/>
      <c r="K85" s="833"/>
      <c r="L85" s="833"/>
      <c r="M85" s="833"/>
      <c r="N85" s="981"/>
      <c r="O85" s="982"/>
      <c r="P85" s="983"/>
      <c r="Q85" s="247"/>
      <c r="AH85" s="3"/>
      <c r="AS85" s="2"/>
    </row>
    <row r="86" spans="2:45" ht="18" thickTop="1">
      <c r="B86" s="248"/>
      <c r="C86" s="4"/>
      <c r="D86" s="4"/>
      <c r="E86" s="4"/>
      <c r="F86" s="4"/>
      <c r="G86" s="4"/>
      <c r="H86" s="12"/>
      <c r="I86" s="250"/>
      <c r="J86" s="250"/>
      <c r="K86" s="250"/>
      <c r="L86" s="250"/>
      <c r="M86" s="12"/>
      <c r="N86" s="12"/>
      <c r="O86" s="12"/>
      <c r="P86" s="94"/>
      <c r="Q86" s="247"/>
      <c r="AH86" s="3"/>
      <c r="AS86" s="2"/>
    </row>
    <row r="87" spans="2:45">
      <c r="B87" s="248"/>
      <c r="C87" s="4"/>
      <c r="D87" s="4"/>
      <c r="E87" s="4"/>
      <c r="F87" s="4"/>
      <c r="G87" s="4"/>
      <c r="H87" s="12"/>
      <c r="I87" s="250"/>
      <c r="J87" s="250"/>
      <c r="K87" s="250"/>
      <c r="L87" s="250"/>
      <c r="M87" s="12"/>
      <c r="N87" s="12"/>
      <c r="O87" s="12"/>
      <c r="P87" s="94"/>
      <c r="Q87" s="247"/>
      <c r="AH87" s="3"/>
      <c r="AS87" s="2"/>
    </row>
    <row r="88" spans="2:45" ht="18" thickBot="1">
      <c r="B88" s="120"/>
      <c r="C88" s="122"/>
      <c r="D88" s="122"/>
      <c r="E88" s="122"/>
      <c r="F88" s="122"/>
      <c r="G88" s="122"/>
      <c r="H88" s="122"/>
      <c r="I88" s="122"/>
      <c r="J88" s="251"/>
      <c r="K88" s="122"/>
      <c r="L88" s="122"/>
      <c r="M88" s="122"/>
      <c r="N88" s="122"/>
      <c r="O88" s="122"/>
      <c r="P88" s="253"/>
      <c r="Q88" s="252"/>
      <c r="AH88" s="3"/>
      <c r="AS88" s="2"/>
    </row>
  </sheetData>
  <sheetProtection selectLockedCells="1"/>
  <mergeCells count="311">
    <mergeCell ref="C67:D67"/>
    <mergeCell ref="C73:D73"/>
    <mergeCell ref="J72:M72"/>
    <mergeCell ref="N65:P65"/>
    <mergeCell ref="E74:F74"/>
    <mergeCell ref="C74:D74"/>
    <mergeCell ref="C65:D65"/>
    <mergeCell ref="N74:P74"/>
    <mergeCell ref="N73:P73"/>
    <mergeCell ref="N71:P71"/>
    <mergeCell ref="E65:F65"/>
    <mergeCell ref="E66:F66"/>
    <mergeCell ref="E67:F67"/>
    <mergeCell ref="N67:P67"/>
    <mergeCell ref="N72:P72"/>
    <mergeCell ref="J74:M74"/>
    <mergeCell ref="E73:F73"/>
    <mergeCell ref="G73:I73"/>
    <mergeCell ref="E72:F72"/>
    <mergeCell ref="G72:I72"/>
    <mergeCell ref="C68:D68"/>
    <mergeCell ref="E68:F68"/>
    <mergeCell ref="G68:I68"/>
    <mergeCell ref="J68:M68"/>
    <mergeCell ref="N85:P85"/>
    <mergeCell ref="N62:P62"/>
    <mergeCell ref="N63:P63"/>
    <mergeCell ref="N76:P76"/>
    <mergeCell ref="N80:P80"/>
    <mergeCell ref="G65:I65"/>
    <mergeCell ref="G66:I66"/>
    <mergeCell ref="G67:I67"/>
    <mergeCell ref="G76:I76"/>
    <mergeCell ref="N66:P66"/>
    <mergeCell ref="J80:M80"/>
    <mergeCell ref="G71:I71"/>
    <mergeCell ref="J65:M65"/>
    <mergeCell ref="J71:M71"/>
    <mergeCell ref="C70:N70"/>
    <mergeCell ref="C71:D71"/>
    <mergeCell ref="E71:F71"/>
    <mergeCell ref="J73:M73"/>
    <mergeCell ref="J66:M66"/>
    <mergeCell ref="J67:M67"/>
    <mergeCell ref="G85:I85"/>
    <mergeCell ref="G81:I81"/>
    <mergeCell ref="J84:M84"/>
    <mergeCell ref="C66:D66"/>
    <mergeCell ref="R43:T43"/>
    <mergeCell ref="R44:S46"/>
    <mergeCell ref="L43:M46"/>
    <mergeCell ref="B57:Q57"/>
    <mergeCell ref="B45:B46"/>
    <mergeCell ref="B42:B44"/>
    <mergeCell ref="C42:D46"/>
    <mergeCell ref="G84:I84"/>
    <mergeCell ref="A37:A41"/>
    <mergeCell ref="F39:K39"/>
    <mergeCell ref="B40:B41"/>
    <mergeCell ref="B37:B39"/>
    <mergeCell ref="A42:A46"/>
    <mergeCell ref="C62:D62"/>
    <mergeCell ref="C63:D63"/>
    <mergeCell ref="C64:D64"/>
    <mergeCell ref="F44:K44"/>
    <mergeCell ref="F45:H45"/>
    <mergeCell ref="J63:M63"/>
    <mergeCell ref="C60:N60"/>
    <mergeCell ref="G74:I74"/>
    <mergeCell ref="N64:P64"/>
    <mergeCell ref="J64:M64"/>
    <mergeCell ref="C72:D72"/>
    <mergeCell ref="E1:P2"/>
    <mergeCell ref="A7:L7"/>
    <mergeCell ref="A8:L8"/>
    <mergeCell ref="L42:P42"/>
    <mergeCell ref="F27:K27"/>
    <mergeCell ref="F42:K42"/>
    <mergeCell ref="R39:S41"/>
    <mergeCell ref="A17:A21"/>
    <mergeCell ref="B12:B14"/>
    <mergeCell ref="A12:A16"/>
    <mergeCell ref="B15:B16"/>
    <mergeCell ref="B17:B19"/>
    <mergeCell ref="B20:B21"/>
    <mergeCell ref="F17:K17"/>
    <mergeCell ref="F18:H18"/>
    <mergeCell ref="F21:K21"/>
    <mergeCell ref="F20:H20"/>
    <mergeCell ref="F19:K19"/>
    <mergeCell ref="F13:H13"/>
    <mergeCell ref="A3:T4"/>
    <mergeCell ref="Q42:T42"/>
    <mergeCell ref="F28:H28"/>
    <mergeCell ref="A32:A36"/>
    <mergeCell ref="B32:B34"/>
    <mergeCell ref="A22:A26"/>
    <mergeCell ref="B22:B24"/>
    <mergeCell ref="B25:B26"/>
    <mergeCell ref="B27:B29"/>
    <mergeCell ref="B30:B31"/>
    <mergeCell ref="Q22:T22"/>
    <mergeCell ref="C22:D26"/>
    <mergeCell ref="C32:D36"/>
    <mergeCell ref="C37:D41"/>
    <mergeCell ref="B35:B36"/>
    <mergeCell ref="L32:P32"/>
    <mergeCell ref="F33:H33"/>
    <mergeCell ref="F36:K36"/>
    <mergeCell ref="F32:K32"/>
    <mergeCell ref="F34:K34"/>
    <mergeCell ref="AK39:AK40"/>
    <mergeCell ref="Q37:T37"/>
    <mergeCell ref="Q38:Q41"/>
    <mergeCell ref="F37:K37"/>
    <mergeCell ref="F43:H43"/>
    <mergeCell ref="AH44:AH45"/>
    <mergeCell ref="AH42:AH43"/>
    <mergeCell ref="N43:P46"/>
    <mergeCell ref="F46:K46"/>
    <mergeCell ref="AK44:AK45"/>
    <mergeCell ref="AK42:AK43"/>
    <mergeCell ref="AI42:AI43"/>
    <mergeCell ref="AJ42:AJ43"/>
    <mergeCell ref="AI44:AI45"/>
    <mergeCell ref="AJ44:AJ45"/>
    <mergeCell ref="AH39:AH40"/>
    <mergeCell ref="AI39:AI40"/>
    <mergeCell ref="AJ39:AJ40"/>
    <mergeCell ref="T39:T41"/>
    <mergeCell ref="F40:H40"/>
    <mergeCell ref="N38:P41"/>
    <mergeCell ref="R38:T38"/>
    <mergeCell ref="T44:T46"/>
    <mergeCell ref="Q43:Q46"/>
    <mergeCell ref="AH32:AH33"/>
    <mergeCell ref="T34:T36"/>
    <mergeCell ref="R33:T33"/>
    <mergeCell ref="Q32:T32"/>
    <mergeCell ref="Q33:Q36"/>
    <mergeCell ref="AH34:AH35"/>
    <mergeCell ref="AK34:AK35"/>
    <mergeCell ref="AH37:AH38"/>
    <mergeCell ref="AK32:AK33"/>
    <mergeCell ref="AJ37:AJ38"/>
    <mergeCell ref="AI37:AI38"/>
    <mergeCell ref="AI34:AI35"/>
    <mergeCell ref="AJ34:AJ35"/>
    <mergeCell ref="AI32:AI33"/>
    <mergeCell ref="AJ32:AJ33"/>
    <mergeCell ref="AK37:AK38"/>
    <mergeCell ref="R34:S36"/>
    <mergeCell ref="AI29:AI30"/>
    <mergeCell ref="A27:A31"/>
    <mergeCell ref="AK27:AK28"/>
    <mergeCell ref="AJ27:AJ28"/>
    <mergeCell ref="R28:T28"/>
    <mergeCell ref="Q27:T27"/>
    <mergeCell ref="AH27:AH28"/>
    <mergeCell ref="R29:S31"/>
    <mergeCell ref="AH29:AH30"/>
    <mergeCell ref="F31:K31"/>
    <mergeCell ref="AJ29:AJ30"/>
    <mergeCell ref="AK29:AK30"/>
    <mergeCell ref="C27:D31"/>
    <mergeCell ref="AK22:AK23"/>
    <mergeCell ref="R13:T13"/>
    <mergeCell ref="F24:K24"/>
    <mergeCell ref="F29:K29"/>
    <mergeCell ref="R24:S26"/>
    <mergeCell ref="L22:P22"/>
    <mergeCell ref="Q28:Q31"/>
    <mergeCell ref="L23:M26"/>
    <mergeCell ref="L27:P27"/>
    <mergeCell ref="F26:K26"/>
    <mergeCell ref="F25:H25"/>
    <mergeCell ref="N23:P26"/>
    <mergeCell ref="F30:H30"/>
    <mergeCell ref="L28:M31"/>
    <mergeCell ref="N28:P31"/>
    <mergeCell ref="AI27:AI28"/>
    <mergeCell ref="AI24:AI25"/>
    <mergeCell ref="AH24:AH25"/>
    <mergeCell ref="T24:T26"/>
    <mergeCell ref="T29:T31"/>
    <mergeCell ref="AJ24:AJ25"/>
    <mergeCell ref="AK24:AK25"/>
    <mergeCell ref="AK12:AK13"/>
    <mergeCell ref="AI12:AI13"/>
    <mergeCell ref="AG6:AN9"/>
    <mergeCell ref="U9:X9"/>
    <mergeCell ref="T10:V10"/>
    <mergeCell ref="T11:V11"/>
    <mergeCell ref="M6:P6"/>
    <mergeCell ref="M7:N7"/>
    <mergeCell ref="R8:T8"/>
    <mergeCell ref="R23:T23"/>
    <mergeCell ref="Q23:Q26"/>
    <mergeCell ref="AK14:AK15"/>
    <mergeCell ref="AI14:AI15"/>
    <mergeCell ref="AI17:AI18"/>
    <mergeCell ref="AH12:AH13"/>
    <mergeCell ref="AJ12:AJ13"/>
    <mergeCell ref="AK19:AK20"/>
    <mergeCell ref="Q17:T17"/>
    <mergeCell ref="AH19:AH20"/>
    <mergeCell ref="AI19:AI20"/>
    <mergeCell ref="T19:T21"/>
    <mergeCell ref="AK17:AK18"/>
    <mergeCell ref="AH14:AH15"/>
    <mergeCell ref="R18:T18"/>
    <mergeCell ref="Q18:Q21"/>
    <mergeCell ref="AJ14:AJ15"/>
    <mergeCell ref="AH22:AH23"/>
    <mergeCell ref="AI22:AI23"/>
    <mergeCell ref="AJ22:AJ23"/>
    <mergeCell ref="L13:M16"/>
    <mergeCell ref="T14:T16"/>
    <mergeCell ref="AJ19:AJ20"/>
    <mergeCell ref="R19:S21"/>
    <mergeCell ref="AJ17:AJ18"/>
    <mergeCell ref="AH17:AH18"/>
    <mergeCell ref="M5:P5"/>
    <mergeCell ref="T5:T6"/>
    <mergeCell ref="Q5:S6"/>
    <mergeCell ref="M8:N8"/>
    <mergeCell ref="O7:Q7"/>
    <mergeCell ref="O8:Q8"/>
    <mergeCell ref="R7:T7"/>
    <mergeCell ref="Q12:T12"/>
    <mergeCell ref="U5:AB8"/>
    <mergeCell ref="M10:O10"/>
    <mergeCell ref="P10:Q10"/>
    <mergeCell ref="A9:B9"/>
    <mergeCell ref="G9:H10"/>
    <mergeCell ref="I9:K10"/>
    <mergeCell ref="D9:E9"/>
    <mergeCell ref="F12:K12"/>
    <mergeCell ref="L17:P17"/>
    <mergeCell ref="Q13:Q16"/>
    <mergeCell ref="R14:S16"/>
    <mergeCell ref="F16:K16"/>
    <mergeCell ref="N13:P16"/>
    <mergeCell ref="F15:H15"/>
    <mergeCell ref="F14:K14"/>
    <mergeCell ref="C12:D16"/>
    <mergeCell ref="E12:E16"/>
    <mergeCell ref="C17:D21"/>
    <mergeCell ref="L12:P12"/>
    <mergeCell ref="G63:I63"/>
    <mergeCell ref="G64:I64"/>
    <mergeCell ref="E62:F62"/>
    <mergeCell ref="E63:F63"/>
    <mergeCell ref="J62:M62"/>
    <mergeCell ref="E64:F64"/>
    <mergeCell ref="F22:K22"/>
    <mergeCell ref="L18:M21"/>
    <mergeCell ref="N18:P21"/>
    <mergeCell ref="F23:H23"/>
    <mergeCell ref="F35:H35"/>
    <mergeCell ref="F38:H38"/>
    <mergeCell ref="L33:M36"/>
    <mergeCell ref="L37:P37"/>
    <mergeCell ref="N33:P36"/>
    <mergeCell ref="L38:M41"/>
    <mergeCell ref="F41:K41"/>
    <mergeCell ref="E17:E21"/>
    <mergeCell ref="E22:E26"/>
    <mergeCell ref="E27:E31"/>
    <mergeCell ref="E32:E36"/>
    <mergeCell ref="E37:E41"/>
    <mergeCell ref="E42:E46"/>
    <mergeCell ref="G62:I62"/>
    <mergeCell ref="J85:M85"/>
    <mergeCell ref="G82:I82"/>
    <mergeCell ref="G83:I83"/>
    <mergeCell ref="C85:D85"/>
    <mergeCell ref="E80:F80"/>
    <mergeCell ref="E81:F81"/>
    <mergeCell ref="C81:D81"/>
    <mergeCell ref="C82:D82"/>
    <mergeCell ref="C80:D80"/>
    <mergeCell ref="E83:F83"/>
    <mergeCell ref="E84:F84"/>
    <mergeCell ref="E85:F85"/>
    <mergeCell ref="C83:D83"/>
    <mergeCell ref="N84:P84"/>
    <mergeCell ref="J75:M75"/>
    <mergeCell ref="N81:P81"/>
    <mergeCell ref="N82:P82"/>
    <mergeCell ref="J76:M76"/>
    <mergeCell ref="G75:I75"/>
    <mergeCell ref="G80:I80"/>
    <mergeCell ref="C76:D76"/>
    <mergeCell ref="E82:F82"/>
    <mergeCell ref="C84:D84"/>
    <mergeCell ref="J83:M83"/>
    <mergeCell ref="J82:M82"/>
    <mergeCell ref="C75:D75"/>
    <mergeCell ref="E75:F75"/>
    <mergeCell ref="N75:P75"/>
    <mergeCell ref="N68:P68"/>
    <mergeCell ref="C77:D77"/>
    <mergeCell ref="E77:F77"/>
    <mergeCell ref="G77:I77"/>
    <mergeCell ref="J77:M77"/>
    <mergeCell ref="N77:P77"/>
    <mergeCell ref="E76:F76"/>
    <mergeCell ref="N83:P83"/>
    <mergeCell ref="J81:M81"/>
    <mergeCell ref="C79:N79"/>
  </mergeCells>
  <phoneticPr fontId="2"/>
  <pageMargins left="0.5" right="0.55000000000000004" top="0.33" bottom="0.12" header="0.34" footer="0.16"/>
  <pageSetup paperSize="9" scale="87" orientation="portrait" horizontalDpi="300" verticalDpi="300" r:id="rId1"/>
  <headerFooter alignWithMargins="0">
    <oddHeader>&amp;R&amp;D　&amp;T</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0000"/>
  </sheetPr>
  <dimension ref="A1:BB116"/>
  <sheetViews>
    <sheetView showGridLines="0" view="pageBreakPreview" topLeftCell="B1" zoomScaleNormal="100" zoomScaleSheetLayoutView="100" workbookViewId="0">
      <selection activeCell="U20" sqref="U20:U21"/>
    </sheetView>
  </sheetViews>
  <sheetFormatPr defaultRowHeight="13.5"/>
  <cols>
    <col min="1" max="53" width="2.5" style="511" customWidth="1"/>
    <col min="54" max="16384" width="9" style="511"/>
  </cols>
  <sheetData>
    <row r="1" spans="1:40">
      <c r="AG1" s="994" t="s">
        <v>331</v>
      </c>
      <c r="AH1" s="995"/>
      <c r="AI1" s="995"/>
      <c r="AJ1" s="995"/>
      <c r="AK1" s="996"/>
      <c r="AL1" s="992" t="s">
        <v>330</v>
      </c>
      <c r="AM1" s="992"/>
      <c r="AN1" s="993"/>
    </row>
    <row r="2" spans="1:40" ht="43.5" customHeight="1">
      <c r="A2" s="1008" t="s">
        <v>347</v>
      </c>
      <c r="B2" s="1009"/>
      <c r="C2" s="1009"/>
      <c r="D2" s="1009"/>
      <c r="E2" s="1009"/>
      <c r="F2" s="1009"/>
      <c r="G2" s="1009"/>
      <c r="H2" s="1009"/>
      <c r="I2" s="1009"/>
      <c r="J2" s="1009"/>
      <c r="K2" s="1009"/>
      <c r="L2" s="1009"/>
      <c r="M2" s="1009"/>
      <c r="N2" s="1009"/>
      <c r="O2" s="1009"/>
      <c r="P2" s="1009"/>
      <c r="Q2" s="1009"/>
      <c r="R2" s="1009"/>
      <c r="S2" s="1009"/>
      <c r="T2" s="1009"/>
      <c r="U2" s="1009"/>
      <c r="V2" s="1009"/>
      <c r="W2" s="1009"/>
      <c r="X2" s="1009"/>
      <c r="Y2" s="1009"/>
      <c r="Z2" s="547"/>
      <c r="AA2" s="547"/>
      <c r="AB2" s="547"/>
      <c r="AC2" s="547"/>
      <c r="AD2" s="547"/>
      <c r="AE2" s="547"/>
      <c r="AF2" s="547"/>
      <c r="AG2" s="550"/>
      <c r="AH2" s="551"/>
      <c r="AI2" s="551"/>
      <c r="AJ2" s="551"/>
      <c r="AK2" s="551"/>
      <c r="AL2" s="556"/>
      <c r="AM2" s="551"/>
      <c r="AN2" s="552"/>
    </row>
    <row r="3" spans="1:40" ht="23.25" customHeight="1">
      <c r="A3" s="549" t="s">
        <v>339</v>
      </c>
      <c r="B3" s="549"/>
      <c r="C3" s="549"/>
      <c r="D3" s="549"/>
      <c r="E3" s="549"/>
      <c r="F3" s="549"/>
      <c r="G3" s="549"/>
      <c r="H3" s="549"/>
      <c r="I3" s="549"/>
      <c r="J3" s="1106"/>
      <c r="K3" s="1106"/>
      <c r="L3" s="1106"/>
      <c r="M3" s="1106"/>
      <c r="N3" s="1106"/>
      <c r="O3" s="1106"/>
      <c r="P3" s="1106"/>
      <c r="Q3" s="1106"/>
      <c r="R3" s="1106"/>
      <c r="S3" s="1106"/>
      <c r="T3" s="548"/>
      <c r="U3" s="512" t="s">
        <v>11</v>
      </c>
      <c r="AG3" s="553"/>
      <c r="AH3" s="554"/>
      <c r="AI3" s="554"/>
      <c r="AJ3" s="554"/>
      <c r="AK3" s="554"/>
      <c r="AL3" s="557"/>
      <c r="AM3" s="554"/>
      <c r="AN3" s="555"/>
    </row>
    <row r="4" spans="1:40" ht="15" customHeight="1"/>
    <row r="5" spans="1:40" ht="15" customHeight="1">
      <c r="A5" s="513" t="s">
        <v>284</v>
      </c>
    </row>
    <row r="6" spans="1:40" ht="12" customHeight="1">
      <c r="A6" s="1035" t="s">
        <v>282</v>
      </c>
      <c r="B6" s="1036"/>
      <c r="C6" s="1047">
        <f>IF(入力画面!C12="","",入力画面!C12)</f>
        <v>11</v>
      </c>
      <c r="D6" s="1048"/>
      <c r="E6" s="1048"/>
      <c r="F6" s="1048"/>
      <c r="G6" s="1048"/>
      <c r="H6" s="1048"/>
      <c r="I6" s="1048"/>
      <c r="J6" s="1048"/>
      <c r="K6" s="1041" t="s">
        <v>11</v>
      </c>
      <c r="L6" s="1042"/>
      <c r="M6" s="1058" t="s">
        <v>276</v>
      </c>
      <c r="N6" s="1059"/>
      <c r="O6" s="1059"/>
      <c r="P6" s="1059"/>
      <c r="Q6" s="1027"/>
      <c r="R6" s="1027"/>
      <c r="S6" s="1027"/>
      <c r="T6" s="1028"/>
      <c r="U6" s="1053" t="s">
        <v>6</v>
      </c>
      <c r="V6" s="1058" t="s">
        <v>278</v>
      </c>
      <c r="W6" s="1059"/>
      <c r="X6" s="1059"/>
      <c r="Y6" s="1059"/>
      <c r="Z6" s="1027"/>
      <c r="AA6" s="1027"/>
      <c r="AB6" s="1027"/>
      <c r="AC6" s="1028"/>
      <c r="AD6" s="1053" t="s">
        <v>6</v>
      </c>
      <c r="AE6" s="1058" t="s">
        <v>280</v>
      </c>
      <c r="AF6" s="1059"/>
      <c r="AG6" s="1059"/>
      <c r="AH6" s="1059"/>
      <c r="AI6" s="1027"/>
      <c r="AJ6" s="1027"/>
      <c r="AK6" s="1027"/>
      <c r="AL6" s="1028"/>
      <c r="AM6" s="1053" t="s">
        <v>6</v>
      </c>
    </row>
    <row r="7" spans="1:40" ht="12" customHeight="1">
      <c r="A7" s="1037"/>
      <c r="B7" s="1038"/>
      <c r="C7" s="1049"/>
      <c r="D7" s="1050"/>
      <c r="E7" s="1050"/>
      <c r="F7" s="1050"/>
      <c r="G7" s="1050"/>
      <c r="H7" s="1050"/>
      <c r="I7" s="1050"/>
      <c r="J7" s="1050"/>
      <c r="K7" s="1043"/>
      <c r="L7" s="1044"/>
      <c r="M7" s="1054"/>
      <c r="N7" s="1055"/>
      <c r="O7" s="1055"/>
      <c r="P7" s="1055"/>
      <c r="Q7" s="1029"/>
      <c r="R7" s="1029"/>
      <c r="S7" s="1029"/>
      <c r="T7" s="1030"/>
      <c r="U7" s="1025"/>
      <c r="V7" s="1054"/>
      <c r="W7" s="1055"/>
      <c r="X7" s="1055"/>
      <c r="Y7" s="1055"/>
      <c r="Z7" s="1029"/>
      <c r="AA7" s="1029"/>
      <c r="AB7" s="1029"/>
      <c r="AC7" s="1030"/>
      <c r="AD7" s="1025"/>
      <c r="AE7" s="1054"/>
      <c r="AF7" s="1055"/>
      <c r="AG7" s="1055"/>
      <c r="AH7" s="1055"/>
      <c r="AI7" s="1029"/>
      <c r="AJ7" s="1029"/>
      <c r="AK7" s="1029"/>
      <c r="AL7" s="1030"/>
      <c r="AM7" s="1025"/>
    </row>
    <row r="8" spans="1:40" ht="12" customHeight="1">
      <c r="A8" s="1037"/>
      <c r="B8" s="1038"/>
      <c r="C8" s="1049"/>
      <c r="D8" s="1050"/>
      <c r="E8" s="1050"/>
      <c r="F8" s="1050"/>
      <c r="G8" s="1050"/>
      <c r="H8" s="1050"/>
      <c r="I8" s="1050"/>
      <c r="J8" s="1050"/>
      <c r="K8" s="1043"/>
      <c r="L8" s="1044"/>
      <c r="M8" s="1054" t="s">
        <v>277</v>
      </c>
      <c r="N8" s="1055"/>
      <c r="O8" s="1055"/>
      <c r="P8" s="1055"/>
      <c r="Q8" s="1029"/>
      <c r="R8" s="1029"/>
      <c r="S8" s="1029"/>
      <c r="T8" s="1030"/>
      <c r="U8" s="1025" t="s">
        <v>6</v>
      </c>
      <c r="V8" s="1054" t="s">
        <v>279</v>
      </c>
      <c r="W8" s="1055"/>
      <c r="X8" s="1055"/>
      <c r="Y8" s="1055"/>
      <c r="Z8" s="1029"/>
      <c r="AA8" s="1029"/>
      <c r="AB8" s="1029"/>
      <c r="AC8" s="1030"/>
      <c r="AD8" s="1025" t="s">
        <v>6</v>
      </c>
      <c r="AE8" s="1065" t="s">
        <v>281</v>
      </c>
      <c r="AF8" s="1066"/>
      <c r="AG8" s="1066"/>
      <c r="AH8" s="1066"/>
      <c r="AI8" s="1069">
        <f>IF(入力画面!C12="","",入力画面!N13)</f>
        <v>0</v>
      </c>
      <c r="AJ8" s="1069"/>
      <c r="AK8" s="1069"/>
      <c r="AL8" s="1070"/>
      <c r="AM8" s="1073" t="s">
        <v>6</v>
      </c>
    </row>
    <row r="9" spans="1:40" ht="12" customHeight="1">
      <c r="A9" s="1039"/>
      <c r="B9" s="1040"/>
      <c r="C9" s="1051"/>
      <c r="D9" s="1052"/>
      <c r="E9" s="1052"/>
      <c r="F9" s="1052"/>
      <c r="G9" s="1052"/>
      <c r="H9" s="1052"/>
      <c r="I9" s="1052"/>
      <c r="J9" s="1052"/>
      <c r="K9" s="1045"/>
      <c r="L9" s="1046"/>
      <c r="M9" s="1056"/>
      <c r="N9" s="1057"/>
      <c r="O9" s="1057"/>
      <c r="P9" s="1057"/>
      <c r="Q9" s="1063"/>
      <c r="R9" s="1063"/>
      <c r="S9" s="1063"/>
      <c r="T9" s="1064"/>
      <c r="U9" s="1026"/>
      <c r="V9" s="1056"/>
      <c r="W9" s="1057"/>
      <c r="X9" s="1057"/>
      <c r="Y9" s="1057"/>
      <c r="Z9" s="1063"/>
      <c r="AA9" s="1063"/>
      <c r="AB9" s="1063"/>
      <c r="AC9" s="1064"/>
      <c r="AD9" s="1026"/>
      <c r="AE9" s="1067"/>
      <c r="AF9" s="1068"/>
      <c r="AG9" s="1068"/>
      <c r="AH9" s="1068"/>
      <c r="AI9" s="1071"/>
      <c r="AJ9" s="1071"/>
      <c r="AK9" s="1071"/>
      <c r="AL9" s="1072"/>
      <c r="AM9" s="1074"/>
    </row>
    <row r="10" spans="1:40" ht="9" customHeight="1"/>
    <row r="11" spans="1:40" ht="15" customHeight="1">
      <c r="A11" s="513" t="s">
        <v>285</v>
      </c>
    </row>
    <row r="12" spans="1:40" ht="12" customHeight="1">
      <c r="A12" s="1035" t="s">
        <v>52</v>
      </c>
      <c r="B12" s="1036"/>
      <c r="C12" s="1047">
        <f>IF(入力画面!C17="","",入力画面!C17)</f>
        <v>0</v>
      </c>
      <c r="D12" s="1048"/>
      <c r="E12" s="1048"/>
      <c r="F12" s="1048"/>
      <c r="G12" s="1048"/>
      <c r="H12" s="1048"/>
      <c r="I12" s="1048"/>
      <c r="J12" s="1048"/>
      <c r="K12" s="1041" t="s">
        <v>11</v>
      </c>
      <c r="L12" s="1042"/>
      <c r="M12" s="1058" t="s">
        <v>276</v>
      </c>
      <c r="N12" s="1059"/>
      <c r="O12" s="1059"/>
      <c r="P12" s="1059"/>
      <c r="Q12" s="1027"/>
      <c r="R12" s="1027"/>
      <c r="S12" s="1027"/>
      <c r="T12" s="1028"/>
      <c r="U12" s="1053" t="s">
        <v>6</v>
      </c>
      <c r="V12" s="1058" t="s">
        <v>278</v>
      </c>
      <c r="W12" s="1059"/>
      <c r="X12" s="1059"/>
      <c r="Y12" s="1059"/>
      <c r="Z12" s="1027"/>
      <c r="AA12" s="1027"/>
      <c r="AB12" s="1027"/>
      <c r="AC12" s="1028"/>
      <c r="AD12" s="1053" t="s">
        <v>6</v>
      </c>
      <c r="AE12" s="1058" t="s">
        <v>280</v>
      </c>
      <c r="AF12" s="1059"/>
      <c r="AG12" s="1059"/>
      <c r="AH12" s="1059"/>
      <c r="AI12" s="1027"/>
      <c r="AJ12" s="1027"/>
      <c r="AK12" s="1027"/>
      <c r="AL12" s="1028"/>
      <c r="AM12" s="1053" t="s">
        <v>6</v>
      </c>
    </row>
    <row r="13" spans="1:40" ht="12" customHeight="1">
      <c r="A13" s="1037"/>
      <c r="B13" s="1038"/>
      <c r="C13" s="1049"/>
      <c r="D13" s="1050"/>
      <c r="E13" s="1050"/>
      <c r="F13" s="1050"/>
      <c r="G13" s="1050"/>
      <c r="H13" s="1050"/>
      <c r="I13" s="1050"/>
      <c r="J13" s="1050"/>
      <c r="K13" s="1043"/>
      <c r="L13" s="1044"/>
      <c r="M13" s="1054"/>
      <c r="N13" s="1055"/>
      <c r="O13" s="1055"/>
      <c r="P13" s="1055"/>
      <c r="Q13" s="1029"/>
      <c r="R13" s="1029"/>
      <c r="S13" s="1029"/>
      <c r="T13" s="1030"/>
      <c r="U13" s="1025"/>
      <c r="V13" s="1054"/>
      <c r="W13" s="1055"/>
      <c r="X13" s="1055"/>
      <c r="Y13" s="1055"/>
      <c r="Z13" s="1029"/>
      <c r="AA13" s="1029"/>
      <c r="AB13" s="1029"/>
      <c r="AC13" s="1030"/>
      <c r="AD13" s="1025"/>
      <c r="AE13" s="1054"/>
      <c r="AF13" s="1055"/>
      <c r="AG13" s="1055"/>
      <c r="AH13" s="1055"/>
      <c r="AI13" s="1029"/>
      <c r="AJ13" s="1029"/>
      <c r="AK13" s="1029"/>
      <c r="AL13" s="1030"/>
      <c r="AM13" s="1025"/>
    </row>
    <row r="14" spans="1:40" ht="12" customHeight="1">
      <c r="A14" s="1037"/>
      <c r="B14" s="1038"/>
      <c r="C14" s="1049"/>
      <c r="D14" s="1050"/>
      <c r="E14" s="1050"/>
      <c r="F14" s="1050"/>
      <c r="G14" s="1050"/>
      <c r="H14" s="1050"/>
      <c r="I14" s="1050"/>
      <c r="J14" s="1050"/>
      <c r="K14" s="1043"/>
      <c r="L14" s="1044"/>
      <c r="M14" s="1054" t="s">
        <v>277</v>
      </c>
      <c r="N14" s="1055"/>
      <c r="O14" s="1055"/>
      <c r="P14" s="1055"/>
      <c r="Q14" s="1029"/>
      <c r="R14" s="1029"/>
      <c r="S14" s="1029"/>
      <c r="T14" s="1030"/>
      <c r="U14" s="1025" t="s">
        <v>6</v>
      </c>
      <c r="V14" s="1054" t="s">
        <v>279</v>
      </c>
      <c r="W14" s="1055"/>
      <c r="X14" s="1055"/>
      <c r="Y14" s="1055"/>
      <c r="Z14" s="1029"/>
      <c r="AA14" s="1029"/>
      <c r="AB14" s="1029"/>
      <c r="AC14" s="1030"/>
      <c r="AD14" s="1025" t="s">
        <v>6</v>
      </c>
      <c r="AE14" s="1065" t="s">
        <v>281</v>
      </c>
      <c r="AF14" s="1066"/>
      <c r="AG14" s="1066"/>
      <c r="AH14" s="1066"/>
      <c r="AI14" s="1069">
        <f>IF(入力画面!C17="","",入力画面!N18)</f>
        <v>0</v>
      </c>
      <c r="AJ14" s="1069"/>
      <c r="AK14" s="1069"/>
      <c r="AL14" s="1070"/>
      <c r="AM14" s="1073" t="s">
        <v>6</v>
      </c>
    </row>
    <row r="15" spans="1:40" ht="12" customHeight="1">
      <c r="A15" s="1039"/>
      <c r="B15" s="1040"/>
      <c r="C15" s="1051"/>
      <c r="D15" s="1052"/>
      <c r="E15" s="1052"/>
      <c r="F15" s="1052"/>
      <c r="G15" s="1052"/>
      <c r="H15" s="1052"/>
      <c r="I15" s="1052"/>
      <c r="J15" s="1052"/>
      <c r="K15" s="1045"/>
      <c r="L15" s="1046"/>
      <c r="M15" s="1056"/>
      <c r="N15" s="1057"/>
      <c r="O15" s="1057"/>
      <c r="P15" s="1057"/>
      <c r="Q15" s="1063"/>
      <c r="R15" s="1063"/>
      <c r="S15" s="1063"/>
      <c r="T15" s="1064"/>
      <c r="U15" s="1026"/>
      <c r="V15" s="1056"/>
      <c r="W15" s="1057"/>
      <c r="X15" s="1057"/>
      <c r="Y15" s="1057"/>
      <c r="Z15" s="1063"/>
      <c r="AA15" s="1063"/>
      <c r="AB15" s="1063"/>
      <c r="AC15" s="1064"/>
      <c r="AD15" s="1026"/>
      <c r="AE15" s="1067"/>
      <c r="AF15" s="1068"/>
      <c r="AG15" s="1068"/>
      <c r="AH15" s="1068"/>
      <c r="AI15" s="1071"/>
      <c r="AJ15" s="1071"/>
      <c r="AK15" s="1071"/>
      <c r="AL15" s="1072"/>
      <c r="AM15" s="1074"/>
    </row>
    <row r="16" spans="1:40" ht="9" customHeight="1"/>
    <row r="17" spans="1:39" ht="15" customHeight="1">
      <c r="A17" s="513" t="s">
        <v>285</v>
      </c>
    </row>
    <row r="18" spans="1:39" ht="12" customHeight="1">
      <c r="A18" s="1035" t="s">
        <v>53</v>
      </c>
      <c r="B18" s="1036"/>
      <c r="C18" s="1047">
        <f>IF(入力画面!C22="","",入力画面!C22)</f>
        <v>0</v>
      </c>
      <c r="D18" s="1048"/>
      <c r="E18" s="1048"/>
      <c r="F18" s="1048"/>
      <c r="G18" s="1048"/>
      <c r="H18" s="1048"/>
      <c r="I18" s="1048"/>
      <c r="J18" s="1048"/>
      <c r="K18" s="1041" t="s">
        <v>11</v>
      </c>
      <c r="L18" s="1042"/>
      <c r="M18" s="1058" t="s">
        <v>276</v>
      </c>
      <c r="N18" s="1059"/>
      <c r="O18" s="1059"/>
      <c r="P18" s="1059"/>
      <c r="Q18" s="1027"/>
      <c r="R18" s="1027"/>
      <c r="S18" s="1027"/>
      <c r="T18" s="1028"/>
      <c r="U18" s="1053" t="s">
        <v>6</v>
      </c>
      <c r="V18" s="1058" t="s">
        <v>278</v>
      </c>
      <c r="W18" s="1059"/>
      <c r="X18" s="1059"/>
      <c r="Y18" s="1059"/>
      <c r="Z18" s="1027"/>
      <c r="AA18" s="1027"/>
      <c r="AB18" s="1027"/>
      <c r="AC18" s="1028"/>
      <c r="AD18" s="1053" t="s">
        <v>6</v>
      </c>
      <c r="AE18" s="1058" t="s">
        <v>280</v>
      </c>
      <c r="AF18" s="1059"/>
      <c r="AG18" s="1059"/>
      <c r="AH18" s="1059"/>
      <c r="AI18" s="1027"/>
      <c r="AJ18" s="1027"/>
      <c r="AK18" s="1027"/>
      <c r="AL18" s="1028"/>
      <c r="AM18" s="1053" t="s">
        <v>6</v>
      </c>
    </row>
    <row r="19" spans="1:39" ht="12" customHeight="1">
      <c r="A19" s="1037"/>
      <c r="B19" s="1038"/>
      <c r="C19" s="1049"/>
      <c r="D19" s="1050"/>
      <c r="E19" s="1050"/>
      <c r="F19" s="1050"/>
      <c r="G19" s="1050"/>
      <c r="H19" s="1050"/>
      <c r="I19" s="1050"/>
      <c r="J19" s="1050"/>
      <c r="K19" s="1043"/>
      <c r="L19" s="1044"/>
      <c r="M19" s="1054"/>
      <c r="N19" s="1055"/>
      <c r="O19" s="1055"/>
      <c r="P19" s="1055"/>
      <c r="Q19" s="1029"/>
      <c r="R19" s="1029"/>
      <c r="S19" s="1029"/>
      <c r="T19" s="1030"/>
      <c r="U19" s="1025"/>
      <c r="V19" s="1054"/>
      <c r="W19" s="1055"/>
      <c r="X19" s="1055"/>
      <c r="Y19" s="1055"/>
      <c r="Z19" s="1029"/>
      <c r="AA19" s="1029"/>
      <c r="AB19" s="1029"/>
      <c r="AC19" s="1030"/>
      <c r="AD19" s="1025"/>
      <c r="AE19" s="1054"/>
      <c r="AF19" s="1055"/>
      <c r="AG19" s="1055"/>
      <c r="AH19" s="1055"/>
      <c r="AI19" s="1029"/>
      <c r="AJ19" s="1029"/>
      <c r="AK19" s="1029"/>
      <c r="AL19" s="1030"/>
      <c r="AM19" s="1025"/>
    </row>
    <row r="20" spans="1:39" ht="12" customHeight="1">
      <c r="A20" s="1037"/>
      <c r="B20" s="1038"/>
      <c r="C20" s="1049"/>
      <c r="D20" s="1050"/>
      <c r="E20" s="1050"/>
      <c r="F20" s="1050"/>
      <c r="G20" s="1050"/>
      <c r="H20" s="1050"/>
      <c r="I20" s="1050"/>
      <c r="J20" s="1050"/>
      <c r="K20" s="1043"/>
      <c r="L20" s="1044"/>
      <c r="M20" s="1054" t="s">
        <v>277</v>
      </c>
      <c r="N20" s="1055"/>
      <c r="O20" s="1055"/>
      <c r="P20" s="1055"/>
      <c r="Q20" s="1029"/>
      <c r="R20" s="1029"/>
      <c r="S20" s="1029"/>
      <c r="T20" s="1030"/>
      <c r="U20" s="1025" t="s">
        <v>6</v>
      </c>
      <c r="V20" s="1054" t="s">
        <v>279</v>
      </c>
      <c r="W20" s="1055"/>
      <c r="X20" s="1055"/>
      <c r="Y20" s="1055"/>
      <c r="Z20" s="1029"/>
      <c r="AA20" s="1029"/>
      <c r="AB20" s="1029"/>
      <c r="AC20" s="1030"/>
      <c r="AD20" s="1025" t="s">
        <v>6</v>
      </c>
      <c r="AE20" s="1065" t="s">
        <v>281</v>
      </c>
      <c r="AF20" s="1066"/>
      <c r="AG20" s="1066"/>
      <c r="AH20" s="1066"/>
      <c r="AI20" s="1069">
        <f>IF(入力画面!C22="","",入力画面!N23)</f>
        <v>0</v>
      </c>
      <c r="AJ20" s="1069"/>
      <c r="AK20" s="1069"/>
      <c r="AL20" s="1070"/>
      <c r="AM20" s="1073" t="s">
        <v>6</v>
      </c>
    </row>
    <row r="21" spans="1:39" ht="12" customHeight="1">
      <c r="A21" s="1039"/>
      <c r="B21" s="1040"/>
      <c r="C21" s="1051"/>
      <c r="D21" s="1052"/>
      <c r="E21" s="1052"/>
      <c r="F21" s="1052"/>
      <c r="G21" s="1052"/>
      <c r="H21" s="1052"/>
      <c r="I21" s="1052"/>
      <c r="J21" s="1052"/>
      <c r="K21" s="1045"/>
      <c r="L21" s="1046"/>
      <c r="M21" s="1056"/>
      <c r="N21" s="1057"/>
      <c r="O21" s="1057"/>
      <c r="P21" s="1057"/>
      <c r="Q21" s="1063"/>
      <c r="R21" s="1063"/>
      <c r="S21" s="1063"/>
      <c r="T21" s="1064"/>
      <c r="U21" s="1026"/>
      <c r="V21" s="1056"/>
      <c r="W21" s="1057"/>
      <c r="X21" s="1057"/>
      <c r="Y21" s="1057"/>
      <c r="Z21" s="1063"/>
      <c r="AA21" s="1063"/>
      <c r="AB21" s="1063"/>
      <c r="AC21" s="1064"/>
      <c r="AD21" s="1026"/>
      <c r="AE21" s="1067"/>
      <c r="AF21" s="1068"/>
      <c r="AG21" s="1068"/>
      <c r="AH21" s="1068"/>
      <c r="AI21" s="1071"/>
      <c r="AJ21" s="1071"/>
      <c r="AK21" s="1071"/>
      <c r="AL21" s="1072"/>
      <c r="AM21" s="1074"/>
    </row>
    <row r="22" spans="1:39" ht="9" customHeight="1"/>
    <row r="23" spans="1:39" ht="15" customHeight="1">
      <c r="A23" s="513" t="s">
        <v>285</v>
      </c>
    </row>
    <row r="24" spans="1:39" ht="12" customHeight="1">
      <c r="A24" s="1035" t="s">
        <v>283</v>
      </c>
      <c r="B24" s="1036"/>
      <c r="C24" s="1047">
        <f>IF(入力画面!C27="","",入力画面!C27)</f>
        <v>0</v>
      </c>
      <c r="D24" s="1048"/>
      <c r="E24" s="1048"/>
      <c r="F24" s="1048"/>
      <c r="G24" s="1048"/>
      <c r="H24" s="1048"/>
      <c r="I24" s="1048"/>
      <c r="J24" s="1048"/>
      <c r="K24" s="1041" t="s">
        <v>11</v>
      </c>
      <c r="L24" s="1042"/>
      <c r="M24" s="1058" t="s">
        <v>276</v>
      </c>
      <c r="N24" s="1059"/>
      <c r="O24" s="1059"/>
      <c r="P24" s="1059"/>
      <c r="Q24" s="1027"/>
      <c r="R24" s="1027"/>
      <c r="S24" s="1027"/>
      <c r="T24" s="1028"/>
      <c r="U24" s="1053" t="s">
        <v>6</v>
      </c>
      <c r="V24" s="1058" t="s">
        <v>278</v>
      </c>
      <c r="W24" s="1059"/>
      <c r="X24" s="1059"/>
      <c r="Y24" s="1059"/>
      <c r="Z24" s="1027"/>
      <c r="AA24" s="1027"/>
      <c r="AB24" s="1027"/>
      <c r="AC24" s="1028"/>
      <c r="AD24" s="1053" t="s">
        <v>6</v>
      </c>
      <c r="AE24" s="1058" t="s">
        <v>280</v>
      </c>
      <c r="AF24" s="1059"/>
      <c r="AG24" s="1059"/>
      <c r="AH24" s="1059"/>
      <c r="AI24" s="1027"/>
      <c r="AJ24" s="1027"/>
      <c r="AK24" s="1027"/>
      <c r="AL24" s="1028"/>
      <c r="AM24" s="1053" t="s">
        <v>6</v>
      </c>
    </row>
    <row r="25" spans="1:39" ht="12" customHeight="1">
      <c r="A25" s="1037"/>
      <c r="B25" s="1038"/>
      <c r="C25" s="1049"/>
      <c r="D25" s="1050"/>
      <c r="E25" s="1050"/>
      <c r="F25" s="1050"/>
      <c r="G25" s="1050"/>
      <c r="H25" s="1050"/>
      <c r="I25" s="1050"/>
      <c r="J25" s="1050"/>
      <c r="K25" s="1043"/>
      <c r="L25" s="1044"/>
      <c r="M25" s="1054"/>
      <c r="N25" s="1055"/>
      <c r="O25" s="1055"/>
      <c r="P25" s="1055"/>
      <c r="Q25" s="1029"/>
      <c r="R25" s="1029"/>
      <c r="S25" s="1029"/>
      <c r="T25" s="1030"/>
      <c r="U25" s="1025"/>
      <c r="V25" s="1054"/>
      <c r="W25" s="1055"/>
      <c r="X25" s="1055"/>
      <c r="Y25" s="1055"/>
      <c r="Z25" s="1029"/>
      <c r="AA25" s="1029"/>
      <c r="AB25" s="1029"/>
      <c r="AC25" s="1030"/>
      <c r="AD25" s="1025"/>
      <c r="AE25" s="1054"/>
      <c r="AF25" s="1055"/>
      <c r="AG25" s="1055"/>
      <c r="AH25" s="1055"/>
      <c r="AI25" s="1029"/>
      <c r="AJ25" s="1029"/>
      <c r="AK25" s="1029"/>
      <c r="AL25" s="1030"/>
      <c r="AM25" s="1025"/>
    </row>
    <row r="26" spans="1:39" ht="12" customHeight="1">
      <c r="A26" s="1037"/>
      <c r="B26" s="1038"/>
      <c r="C26" s="1049"/>
      <c r="D26" s="1050"/>
      <c r="E26" s="1050"/>
      <c r="F26" s="1050"/>
      <c r="G26" s="1050"/>
      <c r="H26" s="1050"/>
      <c r="I26" s="1050"/>
      <c r="J26" s="1050"/>
      <c r="K26" s="1043"/>
      <c r="L26" s="1044"/>
      <c r="M26" s="1054" t="s">
        <v>277</v>
      </c>
      <c r="N26" s="1055"/>
      <c r="O26" s="1055"/>
      <c r="P26" s="1055"/>
      <c r="Q26" s="1029"/>
      <c r="R26" s="1029"/>
      <c r="S26" s="1029"/>
      <c r="T26" s="1030"/>
      <c r="U26" s="1025" t="s">
        <v>6</v>
      </c>
      <c r="V26" s="1054" t="s">
        <v>279</v>
      </c>
      <c r="W26" s="1055"/>
      <c r="X26" s="1055"/>
      <c r="Y26" s="1055"/>
      <c r="Z26" s="1029"/>
      <c r="AA26" s="1029"/>
      <c r="AB26" s="1029"/>
      <c r="AC26" s="1030"/>
      <c r="AD26" s="1025" t="s">
        <v>6</v>
      </c>
      <c r="AE26" s="1065" t="s">
        <v>281</v>
      </c>
      <c r="AF26" s="1066"/>
      <c r="AG26" s="1066"/>
      <c r="AH26" s="1066"/>
      <c r="AI26" s="1069">
        <f>IF(入力画面!C27="","",入力画面!N28)</f>
        <v>0</v>
      </c>
      <c r="AJ26" s="1069"/>
      <c r="AK26" s="1069"/>
      <c r="AL26" s="1070"/>
      <c r="AM26" s="1073" t="s">
        <v>6</v>
      </c>
    </row>
    <row r="27" spans="1:39" ht="12" customHeight="1">
      <c r="A27" s="1039"/>
      <c r="B27" s="1040"/>
      <c r="C27" s="1051"/>
      <c r="D27" s="1052"/>
      <c r="E27" s="1052"/>
      <c r="F27" s="1052"/>
      <c r="G27" s="1052"/>
      <c r="H27" s="1052"/>
      <c r="I27" s="1052"/>
      <c r="J27" s="1052"/>
      <c r="K27" s="1045"/>
      <c r="L27" s="1046"/>
      <c r="M27" s="1056"/>
      <c r="N27" s="1057"/>
      <c r="O27" s="1057"/>
      <c r="P27" s="1057"/>
      <c r="Q27" s="1063"/>
      <c r="R27" s="1063"/>
      <c r="S27" s="1063"/>
      <c r="T27" s="1064"/>
      <c r="U27" s="1026"/>
      <c r="V27" s="1056"/>
      <c r="W27" s="1057"/>
      <c r="X27" s="1057"/>
      <c r="Y27" s="1057"/>
      <c r="Z27" s="1063"/>
      <c r="AA27" s="1063"/>
      <c r="AB27" s="1063"/>
      <c r="AC27" s="1064"/>
      <c r="AD27" s="1026"/>
      <c r="AE27" s="1067"/>
      <c r="AF27" s="1068"/>
      <c r="AG27" s="1068"/>
      <c r="AH27" s="1068"/>
      <c r="AI27" s="1071"/>
      <c r="AJ27" s="1071"/>
      <c r="AK27" s="1071"/>
      <c r="AL27" s="1072"/>
      <c r="AM27" s="1074"/>
    </row>
    <row r="28" spans="1:39" ht="15" customHeight="1"/>
    <row r="29" spans="1:39" ht="15" customHeight="1" thickBot="1"/>
    <row r="30" spans="1:39" ht="15" customHeight="1" thickTop="1">
      <c r="A30" s="1107" t="s">
        <v>286</v>
      </c>
      <c r="B30" s="1108"/>
      <c r="C30" s="1108"/>
      <c r="D30" s="1108"/>
      <c r="E30" s="1123"/>
      <c r="F30" s="1117">
        <f>SUM(F34:K36)</f>
        <v>16100</v>
      </c>
      <c r="G30" s="1118"/>
      <c r="H30" s="1118"/>
      <c r="I30" s="1118"/>
      <c r="J30" s="1118"/>
      <c r="K30" s="1118"/>
      <c r="L30" s="1118"/>
      <c r="M30" s="1118"/>
      <c r="N30" s="1118"/>
      <c r="O30" s="1079" t="s">
        <v>6</v>
      </c>
      <c r="P30" s="1075"/>
      <c r="Q30" s="1080" t="s">
        <v>292</v>
      </c>
      <c r="R30" s="1113"/>
      <c r="S30" s="1076"/>
      <c r="T30" s="1107" t="s">
        <v>287</v>
      </c>
      <c r="U30" s="1108"/>
      <c r="V30" s="1108"/>
      <c r="W30" s="1108"/>
      <c r="X30" s="1108"/>
      <c r="Y30" s="1128" t="s">
        <v>326</v>
      </c>
      <c r="Z30" s="1083"/>
      <c r="AA30" s="1083"/>
      <c r="AB30" s="1125">
        <f>IF(入力画面!W11="",F30/B32,"")</f>
        <v>1342</v>
      </c>
      <c r="AC30" s="1125"/>
      <c r="AD30" s="1125"/>
      <c r="AE30" s="1125"/>
      <c r="AF30" s="1125"/>
      <c r="AG30" s="1125"/>
      <c r="AH30" s="1079" t="s">
        <v>6</v>
      </c>
      <c r="AI30" s="1075"/>
    </row>
    <row r="31" spans="1:39" ht="15" customHeight="1">
      <c r="A31" s="1109"/>
      <c r="B31" s="1110"/>
      <c r="C31" s="1110"/>
      <c r="D31" s="1110"/>
      <c r="E31" s="1124"/>
      <c r="F31" s="1119"/>
      <c r="G31" s="1120"/>
      <c r="H31" s="1120"/>
      <c r="I31" s="1120"/>
      <c r="J31" s="1120"/>
      <c r="K31" s="1120"/>
      <c r="L31" s="1120"/>
      <c r="M31" s="1120"/>
      <c r="N31" s="1120"/>
      <c r="O31" s="1050"/>
      <c r="P31" s="1076"/>
      <c r="Q31" s="1080"/>
      <c r="R31" s="1113"/>
      <c r="S31" s="1076"/>
      <c r="T31" s="1109"/>
      <c r="U31" s="1110"/>
      <c r="V31" s="1110"/>
      <c r="W31" s="1110"/>
      <c r="X31" s="1110"/>
      <c r="Y31" s="1129"/>
      <c r="Z31" s="1085"/>
      <c r="AA31" s="1085"/>
      <c r="AB31" s="1126"/>
      <c r="AC31" s="1126"/>
      <c r="AD31" s="1126"/>
      <c r="AE31" s="1126"/>
      <c r="AF31" s="1126"/>
      <c r="AG31" s="1126"/>
      <c r="AH31" s="1050"/>
      <c r="AI31" s="1076"/>
    </row>
    <row r="32" spans="1:39" ht="15" customHeight="1" thickBot="1">
      <c r="A32" s="515" t="s">
        <v>288</v>
      </c>
      <c r="B32" s="516">
        <f>IF(入力画面!W11="",入力画面!I13,"")</f>
        <v>12</v>
      </c>
      <c r="C32" s="517" t="s">
        <v>290</v>
      </c>
      <c r="D32" s="517" t="s">
        <v>289</v>
      </c>
      <c r="E32" s="517" t="s">
        <v>291</v>
      </c>
      <c r="F32" s="1121"/>
      <c r="G32" s="1122"/>
      <c r="H32" s="1122"/>
      <c r="I32" s="1122"/>
      <c r="J32" s="1122"/>
      <c r="K32" s="1122"/>
      <c r="L32" s="1122"/>
      <c r="M32" s="1122"/>
      <c r="N32" s="1122"/>
      <c r="O32" s="1116"/>
      <c r="P32" s="1077"/>
      <c r="Q32" s="1080"/>
      <c r="R32" s="1113"/>
      <c r="S32" s="1076"/>
      <c r="T32" s="1111"/>
      <c r="U32" s="1112"/>
      <c r="V32" s="1112"/>
      <c r="W32" s="1112"/>
      <c r="X32" s="1112"/>
      <c r="Y32" s="1130"/>
      <c r="Z32" s="1087"/>
      <c r="AA32" s="1087"/>
      <c r="AB32" s="1127"/>
      <c r="AC32" s="1127"/>
      <c r="AD32" s="1127"/>
      <c r="AE32" s="1127"/>
      <c r="AF32" s="1127"/>
      <c r="AG32" s="1127"/>
      <c r="AH32" s="1116"/>
      <c r="AI32" s="1077"/>
    </row>
    <row r="33" spans="1:40" ht="15" customHeight="1" thickTop="1" thickBot="1">
      <c r="B33" s="513" t="s">
        <v>296</v>
      </c>
      <c r="C33" s="518"/>
      <c r="D33" s="513"/>
      <c r="E33" s="513"/>
      <c r="F33" s="513"/>
      <c r="G33" s="513"/>
      <c r="H33" s="513"/>
      <c r="I33" s="513"/>
      <c r="J33" s="513"/>
      <c r="K33" s="513"/>
      <c r="L33" s="513"/>
    </row>
    <row r="34" spans="1:40" ht="19.5" customHeight="1" thickTop="1">
      <c r="B34" s="513"/>
      <c r="C34" s="1088" t="s">
        <v>293</v>
      </c>
      <c r="D34" s="1089"/>
      <c r="E34" s="1090"/>
      <c r="F34" s="1097">
        <f>'合計（印刷）'!$F$4</f>
        <v>12000</v>
      </c>
      <c r="G34" s="1098"/>
      <c r="H34" s="1098"/>
      <c r="I34" s="1098"/>
      <c r="J34" s="1098"/>
      <c r="K34" s="1098"/>
      <c r="L34" s="519" t="s">
        <v>6</v>
      </c>
      <c r="T34" s="1060" t="s">
        <v>313</v>
      </c>
      <c r="U34" s="1061"/>
      <c r="V34" s="1061"/>
      <c r="W34" s="1061"/>
      <c r="X34" s="1061"/>
      <c r="Y34" s="1061"/>
      <c r="Z34" s="1061"/>
      <c r="AA34" s="1061"/>
      <c r="AB34" s="1061"/>
      <c r="AC34" s="1061"/>
      <c r="AD34" s="1062"/>
      <c r="AE34" s="1103" t="s">
        <v>312</v>
      </c>
      <c r="AF34" s="1061"/>
      <c r="AG34" s="1061"/>
      <c r="AH34" s="1104"/>
    </row>
    <row r="35" spans="1:40" ht="19.5" customHeight="1">
      <c r="B35" s="513"/>
      <c r="C35" s="1091" t="s">
        <v>295</v>
      </c>
      <c r="D35" s="1092"/>
      <c r="E35" s="1093"/>
      <c r="F35" s="1099">
        <f>'医療分・支援・介護分（印刷））'!$L$265</f>
        <v>0</v>
      </c>
      <c r="G35" s="1100"/>
      <c r="H35" s="1100"/>
      <c r="I35" s="1100"/>
      <c r="J35" s="1100"/>
      <c r="K35" s="1100"/>
      <c r="L35" s="520" t="s">
        <v>6</v>
      </c>
      <c r="T35" s="1023" t="s">
        <v>34</v>
      </c>
      <c r="U35" s="1024"/>
      <c r="V35" s="1019"/>
      <c r="W35" s="1015" t="e">
        <f>IF(入力画面!Z25=10,入力画面!AC14,"")</f>
        <v>#N/A</v>
      </c>
      <c r="X35" s="1016"/>
      <c r="Y35" s="1016"/>
      <c r="Z35" s="1016"/>
      <c r="AA35" s="1016"/>
      <c r="AB35" s="1017"/>
      <c r="AC35" s="1018" t="s">
        <v>6</v>
      </c>
      <c r="AD35" s="1019"/>
      <c r="AE35" s="1018" t="s">
        <v>302</v>
      </c>
      <c r="AF35" s="1024"/>
      <c r="AG35" s="1024"/>
      <c r="AH35" s="1032"/>
    </row>
    <row r="36" spans="1:40" ht="19.5" customHeight="1">
      <c r="B36" s="513"/>
      <c r="C36" s="1094" t="s">
        <v>294</v>
      </c>
      <c r="D36" s="1095"/>
      <c r="E36" s="1096"/>
      <c r="F36" s="1101">
        <f>'医療分・支援・介護分（印刷））'!$L$176</f>
        <v>4100</v>
      </c>
      <c r="G36" s="1102"/>
      <c r="H36" s="1102"/>
      <c r="I36" s="1102"/>
      <c r="J36" s="1102"/>
      <c r="K36" s="1102"/>
      <c r="L36" s="521" t="s">
        <v>6</v>
      </c>
      <c r="T36" s="1023" t="s">
        <v>35</v>
      </c>
      <c r="U36" s="1024"/>
      <c r="V36" s="1019"/>
      <c r="W36" s="1015" t="e">
        <f>IF(入力画面!Z25=9,入力画面!AC15,IF(入力画面!Z25=10,入力画面!AA14,""))</f>
        <v>#N/A</v>
      </c>
      <c r="X36" s="1016"/>
      <c r="Y36" s="1016"/>
      <c r="Z36" s="1016"/>
      <c r="AA36" s="1016"/>
      <c r="AB36" s="1017"/>
      <c r="AC36" s="1018" t="s">
        <v>6</v>
      </c>
      <c r="AD36" s="1019"/>
      <c r="AE36" s="1018" t="s">
        <v>303</v>
      </c>
      <c r="AF36" s="1024"/>
      <c r="AG36" s="1024"/>
      <c r="AH36" s="1032"/>
    </row>
    <row r="37" spans="1:40" ht="19.5" customHeight="1">
      <c r="B37" s="513"/>
      <c r="C37" s="522"/>
      <c r="D37" s="522"/>
      <c r="E37" s="522"/>
      <c r="F37" s="523"/>
      <c r="G37" s="523"/>
      <c r="H37" s="523"/>
      <c r="I37" s="523"/>
      <c r="J37" s="523"/>
      <c r="K37" s="523"/>
      <c r="L37" s="524"/>
      <c r="Q37" s="514"/>
      <c r="T37" s="1023" t="s">
        <v>36</v>
      </c>
      <c r="U37" s="1024"/>
      <c r="V37" s="1019"/>
      <c r="W37" s="1015" t="e">
        <f>IF(入力画面!Z25=8,入力画面!AC16,IF(入力画面!Z25=9,入力画面!AA15,IF(入力画面!Z25=10,入力画面!AA14,"")))</f>
        <v>#N/A</v>
      </c>
      <c r="X37" s="1016"/>
      <c r="Y37" s="1016"/>
      <c r="Z37" s="1016"/>
      <c r="AA37" s="1016"/>
      <c r="AB37" s="1017"/>
      <c r="AC37" s="1018" t="s">
        <v>6</v>
      </c>
      <c r="AD37" s="1019"/>
      <c r="AE37" s="1018" t="s">
        <v>304</v>
      </c>
      <c r="AF37" s="1024"/>
      <c r="AG37" s="1024"/>
      <c r="AH37" s="1032"/>
    </row>
    <row r="38" spans="1:40" ht="19.5" customHeight="1" thickBot="1">
      <c r="B38" s="527" t="s">
        <v>319</v>
      </c>
      <c r="C38" s="1011" t="s">
        <v>315</v>
      </c>
      <c r="D38" s="1011"/>
      <c r="E38" s="1011"/>
      <c r="F38" s="1011"/>
      <c r="G38" s="1011"/>
      <c r="H38" s="1011"/>
      <c r="I38" s="1011"/>
      <c r="J38" s="1011"/>
      <c r="K38" s="1022">
        <f>入力画面!G9</f>
        <v>7</v>
      </c>
      <c r="L38" s="1022"/>
      <c r="M38" s="1010" t="s">
        <v>324</v>
      </c>
      <c r="N38" s="1010"/>
      <c r="O38" s="527" t="s">
        <v>325</v>
      </c>
      <c r="Q38" s="513"/>
      <c r="T38" s="1023" t="s">
        <v>43</v>
      </c>
      <c r="U38" s="1024"/>
      <c r="V38" s="1019"/>
      <c r="W38" s="1015" t="e">
        <f>IF(入力画面!Z25=7,入力画面!AC17,IF(入力画面!Z25=8,入力画面!AA16,IF(入力画面!Z25=9,入力画面!AA15,IF(入力画面!Z25=10,入力画面!AA14,""))))</f>
        <v>#N/A</v>
      </c>
      <c r="X38" s="1016"/>
      <c r="Y38" s="1016"/>
      <c r="Z38" s="1016"/>
      <c r="AA38" s="1016"/>
      <c r="AB38" s="1017"/>
      <c r="AC38" s="1018" t="s">
        <v>6</v>
      </c>
      <c r="AD38" s="1019"/>
      <c r="AE38" s="1018" t="s">
        <v>305</v>
      </c>
      <c r="AF38" s="1024"/>
      <c r="AG38" s="1024"/>
      <c r="AH38" s="1032"/>
    </row>
    <row r="39" spans="1:40" ht="19.5" customHeight="1">
      <c r="B39" s="529" t="s">
        <v>320</v>
      </c>
      <c r="C39" s="529" t="s">
        <v>321</v>
      </c>
      <c r="D39" s="529"/>
      <c r="E39" s="529"/>
      <c r="F39" s="529"/>
      <c r="G39" s="529"/>
      <c r="H39" s="529"/>
      <c r="I39" s="529"/>
      <c r="J39" s="529"/>
      <c r="K39" s="529"/>
      <c r="L39" s="529"/>
      <c r="M39" s="529"/>
      <c r="N39" s="529"/>
      <c r="O39" s="529"/>
      <c r="P39" s="529"/>
      <c r="Q39" s="529"/>
      <c r="T39" s="1023" t="s">
        <v>37</v>
      </c>
      <c r="U39" s="1024"/>
      <c r="V39" s="1019"/>
      <c r="W39" s="1015" t="e">
        <f>IF(入力画面!Z25=6,入力画面!AC18,IF(入力画面!Z25=7,入力画面!AA17,IF(入力画面!Z25=8,入力画面!AA16,IF(入力画面!Z25=9,入力画面!AA15,IF(入力画面!Z25=10,入力画面!AA14,"")))))</f>
        <v>#N/A</v>
      </c>
      <c r="X39" s="1016"/>
      <c r="Y39" s="1016"/>
      <c r="Z39" s="1016"/>
      <c r="AA39" s="1016"/>
      <c r="AB39" s="1017"/>
      <c r="AC39" s="1018" t="s">
        <v>6</v>
      </c>
      <c r="AD39" s="1019"/>
      <c r="AE39" s="1018" t="s">
        <v>306</v>
      </c>
      <c r="AF39" s="1024"/>
      <c r="AG39" s="1024"/>
      <c r="AH39" s="1032"/>
    </row>
    <row r="40" spans="1:40" ht="19.5" customHeight="1">
      <c r="B40" s="513"/>
      <c r="C40" s="522"/>
      <c r="D40" s="522"/>
      <c r="E40" s="522"/>
      <c r="F40" s="523"/>
      <c r="G40" s="523"/>
      <c r="H40" s="523"/>
      <c r="I40" s="523"/>
      <c r="J40" s="523"/>
      <c r="K40" s="523"/>
      <c r="L40" s="524"/>
      <c r="T40" s="1023" t="s">
        <v>38</v>
      </c>
      <c r="U40" s="1024"/>
      <c r="V40" s="1019"/>
      <c r="W40" s="1015" t="e">
        <f>IF(入力画面!Z25=5,入力画面!AC19,IF(入力画面!Z25=6,入力画面!AA18,IF(入力画面!Z25=7,入力画面!AA17,IF(入力画面!Z25=8,入力画面!AA16,IF(入力画面!Z25=9,入力画面!AA15,IF(入力画面!Z25=10,入力画面!AA14,""))))))</f>
        <v>#N/A</v>
      </c>
      <c r="X40" s="1016"/>
      <c r="Y40" s="1016"/>
      <c r="Z40" s="1016"/>
      <c r="AA40" s="1016"/>
      <c r="AB40" s="1017"/>
      <c r="AC40" s="1018" t="s">
        <v>6</v>
      </c>
      <c r="AD40" s="1019"/>
      <c r="AE40" s="1018" t="s">
        <v>307</v>
      </c>
      <c r="AF40" s="1024"/>
      <c r="AG40" s="1024"/>
      <c r="AH40" s="1032"/>
    </row>
    <row r="41" spans="1:40" ht="19.5" customHeight="1" thickBot="1">
      <c r="B41" s="513"/>
      <c r="C41" s="522"/>
      <c r="D41" s="522"/>
      <c r="E41" s="522"/>
      <c r="F41" s="523"/>
      <c r="G41" s="523"/>
      <c r="H41" s="523"/>
      <c r="I41" s="523"/>
      <c r="J41" s="523"/>
      <c r="K41" s="523"/>
      <c r="L41" s="524"/>
      <c r="T41" s="1023" t="s">
        <v>39</v>
      </c>
      <c r="U41" s="1024"/>
      <c r="V41" s="1019"/>
      <c r="W41" s="1015" t="e">
        <f>IF(入力画面!Z25=4,入力画面!AC20,IF(入力画面!Z25=5,入力画面!AA19,IF(入力画面!Z25=6,入力画面!AA18,IF(入力画面!Z25=7,入力画面!AA17,IF(入力画面!Z25=8,入力画面!AA16,IF(入力画面!Z25=9,入力画面!AA15,IF(入力画面!Z25=10,入力画面!AA14,"")))))))</f>
        <v>#N/A</v>
      </c>
      <c r="X41" s="1016"/>
      <c r="Y41" s="1016"/>
      <c r="Z41" s="1016"/>
      <c r="AA41" s="1016"/>
      <c r="AB41" s="1017"/>
      <c r="AC41" s="1018" t="s">
        <v>6</v>
      </c>
      <c r="AD41" s="1019"/>
      <c r="AE41" s="1018" t="s">
        <v>308</v>
      </c>
      <c r="AF41" s="1024"/>
      <c r="AG41" s="1024"/>
      <c r="AH41" s="1032"/>
    </row>
    <row r="42" spans="1:40" ht="19.5" customHeight="1" thickTop="1">
      <c r="C42" s="1005" t="s">
        <v>316</v>
      </c>
      <c r="D42" s="1006"/>
      <c r="E42" s="1006"/>
      <c r="F42" s="1006"/>
      <c r="G42" s="1006"/>
      <c r="H42" s="1006"/>
      <c r="I42" s="1006"/>
      <c r="J42" s="1006"/>
      <c r="K42" s="1006"/>
      <c r="L42" s="1007"/>
      <c r="T42" s="1023" t="s">
        <v>40</v>
      </c>
      <c r="U42" s="1024"/>
      <c r="V42" s="1019"/>
      <c r="W42" s="1015" t="e">
        <f>IF(入力画面!Z25=3,入力画面!AC21,IF(入力画面!Z25=4,入力画面!AA20,IF(入力画面!Z25=5,入力画面!AA19,IF(入力画面!Z25=6,入力画面!AA18,IF(入力画面!Z25=7,入力画面!AA17,IF(入力画面!Z25=8,入力画面!AA16,IF(入力画面!Z25=9,入力画面!AA15,IF(入力画面!Z25=10,入力画面!AA14,""))))))))</f>
        <v>#N/A</v>
      </c>
      <c r="X42" s="1016"/>
      <c r="Y42" s="1016"/>
      <c r="Z42" s="1016"/>
      <c r="AA42" s="1016"/>
      <c r="AB42" s="1017"/>
      <c r="AC42" s="1018" t="s">
        <v>6</v>
      </c>
      <c r="AD42" s="1019"/>
      <c r="AE42" s="1018" t="s">
        <v>309</v>
      </c>
      <c r="AF42" s="1024"/>
      <c r="AG42" s="1024"/>
      <c r="AH42" s="1032"/>
    </row>
    <row r="43" spans="1:40" ht="19.5" customHeight="1">
      <c r="C43" s="1001"/>
      <c r="D43" s="1002"/>
      <c r="E43" s="1002"/>
      <c r="F43" s="1002"/>
      <c r="G43" s="1002"/>
      <c r="H43" s="1002"/>
      <c r="I43" s="997" t="s">
        <v>317</v>
      </c>
      <c r="J43" s="997"/>
      <c r="K43" s="997"/>
      <c r="L43" s="998"/>
      <c r="T43" s="1023" t="s">
        <v>41</v>
      </c>
      <c r="U43" s="1024"/>
      <c r="V43" s="1019"/>
      <c r="W43" s="1015" t="e">
        <f>IF(入力画面!Z25=2,入力画面!AC22,IF(入力画面!Z25=1,"",VLOOKUP(入力画面!P10,入力画面!Y14:AA23,3,FALSE)))</f>
        <v>#N/A</v>
      </c>
      <c r="X43" s="1016"/>
      <c r="Y43" s="1016"/>
      <c r="Z43" s="1016"/>
      <c r="AA43" s="1016"/>
      <c r="AB43" s="1017"/>
      <c r="AC43" s="1018" t="s">
        <v>6</v>
      </c>
      <c r="AD43" s="1019"/>
      <c r="AE43" s="1018" t="s">
        <v>310</v>
      </c>
      <c r="AF43" s="1024"/>
      <c r="AG43" s="1024"/>
      <c r="AH43" s="1032"/>
    </row>
    <row r="44" spans="1:40" ht="19.5" customHeight="1" thickBot="1">
      <c r="C44" s="1003"/>
      <c r="D44" s="1004"/>
      <c r="E44" s="1004"/>
      <c r="F44" s="1004"/>
      <c r="G44" s="1004"/>
      <c r="H44" s="1004"/>
      <c r="I44" s="999"/>
      <c r="J44" s="999"/>
      <c r="K44" s="999"/>
      <c r="L44" s="1000"/>
      <c r="T44" s="1105" t="s">
        <v>195</v>
      </c>
      <c r="U44" s="1033"/>
      <c r="V44" s="1021"/>
      <c r="W44" s="1012" t="e">
        <f>VLOOKUP(入力画面!P10,入力画面!Y14:AA23,3,FALSE)</f>
        <v>#N/A</v>
      </c>
      <c r="X44" s="1013"/>
      <c r="Y44" s="1013"/>
      <c r="Z44" s="1013"/>
      <c r="AA44" s="1013"/>
      <c r="AB44" s="1014"/>
      <c r="AC44" s="1020" t="s">
        <v>6</v>
      </c>
      <c r="AD44" s="1021"/>
      <c r="AE44" s="1020" t="s">
        <v>311</v>
      </c>
      <c r="AF44" s="1033"/>
      <c r="AG44" s="1033"/>
      <c r="AH44" s="1034"/>
    </row>
    <row r="45" spans="1:40" ht="19.5" customHeight="1" thickTop="1">
      <c r="C45" s="561"/>
      <c r="D45" s="561"/>
      <c r="E45" s="561"/>
      <c r="F45" s="561"/>
      <c r="G45" s="561"/>
      <c r="H45" s="561"/>
      <c r="I45" s="562"/>
      <c r="J45" s="562"/>
      <c r="K45" s="562"/>
      <c r="L45" s="562"/>
      <c r="T45" s="1031" t="s">
        <v>314</v>
      </c>
      <c r="U45" s="1031"/>
      <c r="V45" s="1031"/>
      <c r="W45" s="1031"/>
      <c r="X45" s="1031"/>
      <c r="Y45" s="1031"/>
      <c r="Z45" s="1031"/>
      <c r="AA45" s="1031"/>
      <c r="AB45" s="1031"/>
      <c r="AC45" s="1031"/>
      <c r="AD45" s="1031"/>
      <c r="AE45" s="1031"/>
      <c r="AF45" s="1031"/>
      <c r="AG45" s="1031"/>
      <c r="AH45" s="1031"/>
      <c r="AI45" s="1031"/>
      <c r="AJ45" s="1031"/>
      <c r="AK45" s="1031"/>
      <c r="AL45" s="1031"/>
    </row>
    <row r="46" spans="1:40" ht="29.25" customHeight="1">
      <c r="T46" s="563" t="str">
        <f>IF(S48="","","↑支払い回数割額は実際とは異なります")</f>
        <v/>
      </c>
    </row>
    <row r="47" spans="1:40" ht="9.75" customHeight="1" thickBot="1">
      <c r="A47" s="525"/>
      <c r="B47" s="525"/>
      <c r="C47" s="525"/>
      <c r="D47" s="525"/>
      <c r="E47" s="525"/>
      <c r="F47" s="525"/>
      <c r="G47" s="525"/>
      <c r="H47" s="525"/>
      <c r="I47" s="525"/>
      <c r="J47" s="525"/>
      <c r="K47" s="525"/>
      <c r="L47" s="525"/>
      <c r="M47" s="525"/>
      <c r="N47" s="525"/>
      <c r="O47" s="525"/>
      <c r="P47" s="525"/>
      <c r="Q47" s="525"/>
      <c r="R47" s="525"/>
      <c r="S47" s="525"/>
      <c r="T47" s="526"/>
      <c r="U47" s="526"/>
      <c r="V47" s="526"/>
      <c r="W47" s="526"/>
      <c r="X47" s="526"/>
      <c r="Y47" s="526"/>
      <c r="Z47" s="526"/>
      <c r="AA47" s="526"/>
      <c r="AB47" s="526"/>
      <c r="AC47" s="526"/>
      <c r="AD47" s="526"/>
      <c r="AE47" s="526"/>
      <c r="AF47" s="526"/>
      <c r="AG47" s="526"/>
      <c r="AH47" s="526"/>
      <c r="AI47" s="526"/>
      <c r="AJ47" s="526"/>
      <c r="AK47" s="526"/>
      <c r="AL47" s="526"/>
      <c r="AM47" s="525"/>
      <c r="AN47" s="525"/>
    </row>
    <row r="48" spans="1:40" ht="15" customHeight="1" thickTop="1">
      <c r="A48" s="1113" t="s">
        <v>297</v>
      </c>
      <c r="B48" s="1113"/>
      <c r="C48" s="1113"/>
      <c r="D48" s="1113"/>
      <c r="E48" s="1113"/>
      <c r="F48" s="1113"/>
      <c r="G48" s="1113"/>
      <c r="H48" s="1113"/>
      <c r="I48" s="1113"/>
      <c r="J48" s="1113"/>
      <c r="K48" s="1113"/>
      <c r="L48" s="1114" t="str">
        <f>IF(入力画面!W10="","",入力画面!W10)</f>
        <v/>
      </c>
      <c r="M48" s="1114"/>
      <c r="N48" s="511" t="s">
        <v>298</v>
      </c>
      <c r="P48" s="1078" t="s">
        <v>300</v>
      </c>
      <c r="Q48" s="1079"/>
      <c r="R48" s="1079"/>
      <c r="S48" s="1082" t="str">
        <f>IF(入力画面!W11="","",F30-入力画面!W11)</f>
        <v/>
      </c>
      <c r="T48" s="1083"/>
      <c r="U48" s="1083"/>
      <c r="V48" s="1083"/>
      <c r="W48" s="1083"/>
      <c r="X48" s="1083"/>
      <c r="Y48" s="1075" t="s">
        <v>6</v>
      </c>
      <c r="Z48" s="1080" t="s">
        <v>292</v>
      </c>
      <c r="AA48" s="1113"/>
      <c r="AB48" s="1076"/>
      <c r="AC48" s="1107" t="s">
        <v>287</v>
      </c>
      <c r="AD48" s="1108"/>
      <c r="AE48" s="1108"/>
      <c r="AF48" s="1082" t="str">
        <f>IF(入力画面!W11="","",S48/P50)</f>
        <v/>
      </c>
      <c r="AG48" s="1083"/>
      <c r="AH48" s="1083"/>
      <c r="AI48" s="1083"/>
      <c r="AJ48" s="1083"/>
      <c r="AK48" s="1083"/>
      <c r="AL48" s="1075" t="s">
        <v>6</v>
      </c>
    </row>
    <row r="49" spans="1:46" ht="15" customHeight="1">
      <c r="A49" s="1113" t="s">
        <v>299</v>
      </c>
      <c r="B49" s="1113"/>
      <c r="C49" s="1113"/>
      <c r="D49" s="1113"/>
      <c r="E49" s="1113"/>
      <c r="F49" s="1113"/>
      <c r="G49" s="1113"/>
      <c r="H49" s="1113"/>
      <c r="I49" s="1115" t="str">
        <f>IF(入力画面!W11="","",入力画面!W11)</f>
        <v/>
      </c>
      <c r="J49" s="1115"/>
      <c r="K49" s="1115"/>
      <c r="L49" s="1115"/>
      <c r="M49" s="1115"/>
      <c r="N49" s="511" t="s">
        <v>6</v>
      </c>
      <c r="P49" s="1080"/>
      <c r="Q49" s="1050"/>
      <c r="R49" s="1050"/>
      <c r="S49" s="1084"/>
      <c r="T49" s="1085"/>
      <c r="U49" s="1085"/>
      <c r="V49" s="1085"/>
      <c r="W49" s="1085"/>
      <c r="X49" s="1085"/>
      <c r="Y49" s="1076"/>
      <c r="Z49" s="1080"/>
      <c r="AA49" s="1113"/>
      <c r="AB49" s="1076"/>
      <c r="AC49" s="1109"/>
      <c r="AD49" s="1110"/>
      <c r="AE49" s="1110"/>
      <c r="AF49" s="1084"/>
      <c r="AG49" s="1085"/>
      <c r="AH49" s="1085"/>
      <c r="AI49" s="1085"/>
      <c r="AJ49" s="1085"/>
      <c r="AK49" s="1085"/>
      <c r="AL49" s="1076"/>
    </row>
    <row r="50" spans="1:46" ht="15" customHeight="1" thickBot="1">
      <c r="P50" s="560" t="str">
        <f>IF(入力画面!W11="","",入力画面!I13)</f>
        <v/>
      </c>
      <c r="Q50" s="1081" t="s">
        <v>301</v>
      </c>
      <c r="R50" s="1081"/>
      <c r="S50" s="1086"/>
      <c r="T50" s="1087"/>
      <c r="U50" s="1087"/>
      <c r="V50" s="1087"/>
      <c r="W50" s="1087"/>
      <c r="X50" s="1087"/>
      <c r="Y50" s="1077"/>
      <c r="Z50" s="1080"/>
      <c r="AA50" s="1113"/>
      <c r="AB50" s="1076"/>
      <c r="AC50" s="1111"/>
      <c r="AD50" s="1112"/>
      <c r="AE50" s="1112"/>
      <c r="AF50" s="1086"/>
      <c r="AG50" s="1087"/>
      <c r="AH50" s="1087"/>
      <c r="AI50" s="1087"/>
      <c r="AJ50" s="1087"/>
      <c r="AK50" s="1087"/>
      <c r="AL50" s="1077"/>
    </row>
    <row r="51" spans="1:46" ht="9.75" customHeight="1" thickTop="1">
      <c r="A51" s="528"/>
      <c r="B51" s="528"/>
      <c r="C51" s="528"/>
      <c r="D51" s="528"/>
      <c r="E51" s="528"/>
      <c r="F51" s="528"/>
      <c r="G51" s="528"/>
      <c r="H51" s="528"/>
      <c r="I51" s="528"/>
      <c r="J51" s="528"/>
      <c r="K51" s="528"/>
      <c r="L51" s="528"/>
      <c r="M51" s="528"/>
      <c r="N51" s="528"/>
      <c r="O51" s="528"/>
      <c r="P51" s="528"/>
      <c r="Q51" s="528"/>
      <c r="R51" s="528"/>
      <c r="S51" s="528"/>
      <c r="T51" s="528"/>
      <c r="U51" s="528"/>
      <c r="V51" s="528"/>
      <c r="W51" s="528"/>
      <c r="X51" s="528"/>
      <c r="Y51" s="528"/>
      <c r="Z51" s="528"/>
      <c r="AA51" s="528"/>
      <c r="AB51" s="528"/>
      <c r="AC51" s="528"/>
      <c r="AD51" s="528"/>
      <c r="AE51" s="528"/>
      <c r="AF51" s="528"/>
      <c r="AG51" s="528"/>
      <c r="AH51" s="528"/>
      <c r="AI51" s="528"/>
      <c r="AJ51" s="528"/>
      <c r="AK51" s="528"/>
      <c r="AL51" s="528"/>
      <c r="AM51" s="528"/>
      <c r="AN51" s="528"/>
    </row>
    <row r="52" spans="1:46" ht="15" customHeight="1"/>
    <row r="53" spans="1:46" ht="15" customHeight="1">
      <c r="A53" s="513" t="s">
        <v>318</v>
      </c>
      <c r="B53" s="513" t="s">
        <v>341</v>
      </c>
      <c r="C53" s="513"/>
      <c r="D53" s="513"/>
      <c r="E53" s="513"/>
      <c r="F53" s="513"/>
      <c r="G53" s="513"/>
      <c r="H53" s="513"/>
      <c r="I53" s="513"/>
      <c r="J53" s="513"/>
      <c r="K53" s="513"/>
      <c r="L53" s="513"/>
      <c r="M53" s="513"/>
      <c r="N53" s="513"/>
      <c r="O53" s="513"/>
      <c r="P53" s="513"/>
      <c r="Q53" s="513"/>
      <c r="R53" s="513"/>
      <c r="S53" s="513"/>
      <c r="T53" s="513"/>
      <c r="U53" s="513"/>
      <c r="V53" s="513"/>
      <c r="W53" s="513"/>
      <c r="X53" s="513"/>
      <c r="Y53" s="513"/>
      <c r="Z53" s="513"/>
      <c r="AA53" s="513"/>
      <c r="AB53" s="513"/>
      <c r="AC53" s="513"/>
      <c r="AD53" s="513"/>
      <c r="AE53" s="513"/>
      <c r="AF53" s="513"/>
      <c r="AG53" s="513"/>
      <c r="AH53" s="513"/>
      <c r="AI53" s="513"/>
      <c r="AJ53" s="513"/>
      <c r="AK53" s="513"/>
      <c r="AL53" s="513"/>
      <c r="AM53" s="513"/>
      <c r="AN53" s="513"/>
    </row>
    <row r="54" spans="1:46" ht="15" customHeight="1">
      <c r="A54" s="513"/>
      <c r="B54" s="513" t="s">
        <v>323</v>
      </c>
      <c r="C54" s="513"/>
      <c r="D54" s="513"/>
      <c r="E54" s="513"/>
      <c r="F54" s="513"/>
      <c r="G54" s="513"/>
      <c r="H54" s="513"/>
      <c r="I54" s="513"/>
      <c r="J54" s="513"/>
      <c r="K54" s="513"/>
      <c r="L54" s="513"/>
      <c r="M54" s="513"/>
      <c r="N54" s="513"/>
      <c r="O54" s="513"/>
      <c r="P54" s="513"/>
      <c r="Q54" s="513"/>
      <c r="R54" s="513"/>
      <c r="S54" s="513"/>
      <c r="T54" s="513"/>
      <c r="U54" s="513"/>
      <c r="V54" s="513"/>
      <c r="W54" s="513"/>
      <c r="X54" s="513"/>
      <c r="Y54" s="513"/>
      <c r="Z54" s="513"/>
      <c r="AA54" s="513"/>
      <c r="AB54" s="513"/>
      <c r="AC54" s="513"/>
      <c r="AD54" s="513"/>
      <c r="AE54" s="513"/>
      <c r="AF54" s="513"/>
      <c r="AG54" s="513"/>
      <c r="AH54" s="513"/>
      <c r="AI54" s="513"/>
      <c r="AJ54" s="513"/>
      <c r="AK54" s="513"/>
      <c r="AL54" s="513"/>
      <c r="AM54" s="513"/>
      <c r="AN54" s="513"/>
    </row>
    <row r="55" spans="1:46" ht="15" customHeight="1">
      <c r="A55" s="513" t="s">
        <v>319</v>
      </c>
      <c r="B55" s="513" t="s">
        <v>322</v>
      </c>
      <c r="C55" s="513"/>
      <c r="D55" s="513"/>
      <c r="E55" s="513"/>
      <c r="F55" s="513"/>
      <c r="G55" s="513"/>
      <c r="H55" s="513"/>
      <c r="I55" s="513"/>
      <c r="J55" s="513"/>
      <c r="K55" s="513"/>
      <c r="L55" s="513"/>
      <c r="M55" s="513"/>
      <c r="N55" s="513"/>
      <c r="O55" s="513"/>
      <c r="P55" s="513"/>
      <c r="Q55" s="513"/>
      <c r="R55" s="513"/>
      <c r="S55" s="513"/>
      <c r="T55" s="513"/>
      <c r="U55" s="513"/>
      <c r="V55" s="513"/>
      <c r="W55" s="513"/>
      <c r="X55" s="513"/>
      <c r="Y55" s="513"/>
      <c r="Z55" s="513"/>
      <c r="AA55" s="513"/>
      <c r="AB55" s="513"/>
      <c r="AC55" s="513"/>
      <c r="AD55" s="513"/>
      <c r="AE55" s="513"/>
      <c r="AF55" s="513"/>
      <c r="AG55" s="513"/>
      <c r="AH55" s="513"/>
      <c r="AI55" s="513"/>
      <c r="AJ55" s="513"/>
      <c r="AK55" s="513"/>
      <c r="AL55" s="513"/>
      <c r="AM55" s="513"/>
      <c r="AN55" s="513"/>
    </row>
    <row r="56" spans="1:46" ht="15" customHeight="1">
      <c r="A56" s="513"/>
      <c r="B56" s="513" t="s">
        <v>340</v>
      </c>
      <c r="C56" s="513"/>
      <c r="D56" s="513"/>
      <c r="E56" s="513"/>
      <c r="F56" s="513"/>
      <c r="G56" s="513"/>
      <c r="H56" s="513"/>
      <c r="I56" s="513"/>
      <c r="J56" s="513"/>
      <c r="K56" s="513"/>
      <c r="L56" s="513"/>
      <c r="M56" s="513"/>
      <c r="N56" s="513"/>
      <c r="O56" s="513"/>
      <c r="P56" s="513"/>
      <c r="Q56" s="513"/>
      <c r="R56" s="513"/>
      <c r="S56" s="513"/>
      <c r="T56" s="513"/>
      <c r="U56" s="513"/>
      <c r="V56" s="513"/>
      <c r="W56" s="513"/>
      <c r="X56" s="513"/>
      <c r="Y56" s="513"/>
      <c r="Z56" s="513"/>
      <c r="AA56" s="513"/>
      <c r="AB56" s="513"/>
      <c r="AC56" s="513"/>
      <c r="AD56" s="513"/>
      <c r="AE56" s="513"/>
      <c r="AF56" s="513"/>
      <c r="AG56" s="513"/>
      <c r="AH56" s="513"/>
      <c r="AI56" s="513"/>
      <c r="AJ56" s="513"/>
      <c r="AK56" s="513"/>
      <c r="AL56" s="513"/>
      <c r="AM56" s="513"/>
      <c r="AN56" s="513"/>
      <c r="AT56"/>
    </row>
    <row r="57" spans="1:46" ht="15" customHeight="1"/>
    <row r="58" spans="1:46" ht="15" customHeight="1">
      <c r="B58" s="564" t="s">
        <v>343</v>
      </c>
    </row>
    <row r="59" spans="1:46" ht="15" customHeight="1"/>
    <row r="60" spans="1:46" ht="15" customHeight="1"/>
    <row r="61" spans="1:46" ht="15" customHeight="1"/>
    <row r="62" spans="1:46" ht="15" customHeight="1"/>
    <row r="63" spans="1:46" ht="15" customHeight="1"/>
    <row r="64" spans="1:46" ht="15" customHeight="1"/>
    <row r="72" spans="2:2">
      <c r="B72" s="564" t="s">
        <v>342</v>
      </c>
    </row>
    <row r="104" spans="10:54">
      <c r="BB104" s="587"/>
    </row>
    <row r="110" spans="10:54" ht="14.25">
      <c r="J110" s="558" t="s">
        <v>333</v>
      </c>
    </row>
    <row r="111" spans="10:54" ht="24" customHeight="1">
      <c r="J111" s="511" t="s">
        <v>334</v>
      </c>
    </row>
    <row r="112" spans="10:54" ht="15" customHeight="1">
      <c r="J112" s="511" t="s">
        <v>335</v>
      </c>
    </row>
    <row r="113" spans="3:10" ht="15" customHeight="1">
      <c r="J113" s="511" t="s">
        <v>344</v>
      </c>
    </row>
    <row r="114" spans="3:10" ht="18" customHeight="1">
      <c r="J114" s="511" t="s">
        <v>345</v>
      </c>
    </row>
    <row r="116" spans="3:10" ht="15">
      <c r="C116" s="559" t="s">
        <v>332</v>
      </c>
    </row>
  </sheetData>
  <sheetProtection selectLockedCells="1"/>
  <protectedRanges>
    <protectedRange sqref="Z6:AC9" name="範囲2"/>
    <protectedRange sqref="Q6:T9" name="範囲1"/>
  </protectedRanges>
  <mergeCells count="163">
    <mergeCell ref="J3:S3"/>
    <mergeCell ref="AC48:AE50"/>
    <mergeCell ref="AF48:AK50"/>
    <mergeCell ref="Z48:AB50"/>
    <mergeCell ref="A48:K48"/>
    <mergeCell ref="L48:M48"/>
    <mergeCell ref="A49:H49"/>
    <mergeCell ref="I49:M49"/>
    <mergeCell ref="Y48:Y50"/>
    <mergeCell ref="T30:X32"/>
    <mergeCell ref="O30:P32"/>
    <mergeCell ref="AH30:AI32"/>
    <mergeCell ref="F30:N32"/>
    <mergeCell ref="A30:E31"/>
    <mergeCell ref="Q30:S32"/>
    <mergeCell ref="AB30:AG32"/>
    <mergeCell ref="Y30:AA32"/>
    <mergeCell ref="AD24:AD25"/>
    <mergeCell ref="AE24:AH25"/>
    <mergeCell ref="AI24:AL25"/>
    <mergeCell ref="AE20:AH21"/>
    <mergeCell ref="AI20:AL21"/>
    <mergeCell ref="U18:U19"/>
    <mergeCell ref="AD12:AD13"/>
    <mergeCell ref="AL48:AL50"/>
    <mergeCell ref="P48:R49"/>
    <mergeCell ref="Q50:R50"/>
    <mergeCell ref="S48:X50"/>
    <mergeCell ref="C34:E34"/>
    <mergeCell ref="C35:E35"/>
    <mergeCell ref="C36:E36"/>
    <mergeCell ref="F34:K34"/>
    <mergeCell ref="F35:K35"/>
    <mergeCell ref="F36:K36"/>
    <mergeCell ref="AE34:AH34"/>
    <mergeCell ref="T42:V42"/>
    <mergeCell ref="T43:V43"/>
    <mergeCell ref="T44:V44"/>
    <mergeCell ref="AE35:AH35"/>
    <mergeCell ref="AE36:AH36"/>
    <mergeCell ref="AE37:AH37"/>
    <mergeCell ref="AE38:AH38"/>
    <mergeCell ref="AE39:AH39"/>
    <mergeCell ref="AE40:AH40"/>
    <mergeCell ref="T35:V35"/>
    <mergeCell ref="AC35:AD35"/>
    <mergeCell ref="AC40:AD40"/>
    <mergeCell ref="AC41:AD41"/>
    <mergeCell ref="A24:B27"/>
    <mergeCell ref="C24:J27"/>
    <mergeCell ref="K24:L27"/>
    <mergeCell ref="M24:P25"/>
    <mergeCell ref="Q24:T25"/>
    <mergeCell ref="U24:U25"/>
    <mergeCell ref="M26:P27"/>
    <mergeCell ref="V24:Y25"/>
    <mergeCell ref="M20:P21"/>
    <mergeCell ref="Q20:T21"/>
    <mergeCell ref="U20:U21"/>
    <mergeCell ref="V20:Y21"/>
    <mergeCell ref="A18:B21"/>
    <mergeCell ref="C18:J21"/>
    <mergeCell ref="K18:L21"/>
    <mergeCell ref="M18:P19"/>
    <mergeCell ref="Q18:T19"/>
    <mergeCell ref="Q26:T27"/>
    <mergeCell ref="U26:U27"/>
    <mergeCell ref="V26:Y27"/>
    <mergeCell ref="A12:B15"/>
    <mergeCell ref="C12:J15"/>
    <mergeCell ref="K12:L15"/>
    <mergeCell ref="M12:P13"/>
    <mergeCell ref="Q12:T13"/>
    <mergeCell ref="AE12:AH13"/>
    <mergeCell ref="AI12:AL13"/>
    <mergeCell ref="AM12:AM13"/>
    <mergeCell ref="U12:U13"/>
    <mergeCell ref="AI14:AL15"/>
    <mergeCell ref="AM14:AM15"/>
    <mergeCell ref="AD14:AD15"/>
    <mergeCell ref="AE14:AH15"/>
    <mergeCell ref="W35:AB35"/>
    <mergeCell ref="W36:AB36"/>
    <mergeCell ref="W37:AB37"/>
    <mergeCell ref="W38:AB38"/>
    <mergeCell ref="W39:AB39"/>
    <mergeCell ref="AM6:AM7"/>
    <mergeCell ref="AE8:AH9"/>
    <mergeCell ref="AI8:AL9"/>
    <mergeCell ref="AM8:AM9"/>
    <mergeCell ref="V14:Y15"/>
    <mergeCell ref="Z14:AC15"/>
    <mergeCell ref="AM18:AM19"/>
    <mergeCell ref="AM20:AM21"/>
    <mergeCell ref="Z20:AC21"/>
    <mergeCell ref="Z24:AC25"/>
    <mergeCell ref="AD20:AD21"/>
    <mergeCell ref="AM24:AM25"/>
    <mergeCell ref="AE26:AH27"/>
    <mergeCell ref="AI26:AL27"/>
    <mergeCell ref="Z26:AC27"/>
    <mergeCell ref="AD26:AD27"/>
    <mergeCell ref="AM26:AM27"/>
    <mergeCell ref="Z8:AC9"/>
    <mergeCell ref="AD8:AD9"/>
    <mergeCell ref="AE6:AH7"/>
    <mergeCell ref="M6:P7"/>
    <mergeCell ref="AE18:AH19"/>
    <mergeCell ref="AI18:AL19"/>
    <mergeCell ref="V18:Y19"/>
    <mergeCell ref="Z18:AC19"/>
    <mergeCell ref="AD18:AD19"/>
    <mergeCell ref="M14:P15"/>
    <mergeCell ref="Q14:T15"/>
    <mergeCell ref="U14:U15"/>
    <mergeCell ref="T45:AL45"/>
    <mergeCell ref="AE41:AH41"/>
    <mergeCell ref="AE42:AH42"/>
    <mergeCell ref="AE43:AH43"/>
    <mergeCell ref="AE44:AH44"/>
    <mergeCell ref="A6:B9"/>
    <mergeCell ref="K6:L9"/>
    <mergeCell ref="C6:J9"/>
    <mergeCell ref="Z6:AC7"/>
    <mergeCell ref="AD6:AD7"/>
    <mergeCell ref="V8:Y9"/>
    <mergeCell ref="T40:V40"/>
    <mergeCell ref="V6:Y7"/>
    <mergeCell ref="V12:Y13"/>
    <mergeCell ref="T34:AD34"/>
    <mergeCell ref="AC36:AD36"/>
    <mergeCell ref="AC37:AD37"/>
    <mergeCell ref="AC38:AD38"/>
    <mergeCell ref="AC39:AD39"/>
    <mergeCell ref="Z12:AC13"/>
    <mergeCell ref="M8:P9"/>
    <mergeCell ref="Q8:T9"/>
    <mergeCell ref="Q6:T7"/>
    <mergeCell ref="U6:U7"/>
    <mergeCell ref="AL1:AN1"/>
    <mergeCell ref="AG1:AK1"/>
    <mergeCell ref="I43:L44"/>
    <mergeCell ref="C43:H44"/>
    <mergeCell ref="C42:L42"/>
    <mergeCell ref="A2:Y2"/>
    <mergeCell ref="M38:N38"/>
    <mergeCell ref="C38:J38"/>
    <mergeCell ref="W44:AB44"/>
    <mergeCell ref="W40:AB40"/>
    <mergeCell ref="AC42:AD42"/>
    <mergeCell ref="AC43:AD43"/>
    <mergeCell ref="AC44:AD44"/>
    <mergeCell ref="K38:L38"/>
    <mergeCell ref="T41:V41"/>
    <mergeCell ref="W41:AB41"/>
    <mergeCell ref="W42:AB42"/>
    <mergeCell ref="W43:AB43"/>
    <mergeCell ref="U8:U9"/>
    <mergeCell ref="T36:V36"/>
    <mergeCell ref="T37:V37"/>
    <mergeCell ref="T38:V38"/>
    <mergeCell ref="T39:V39"/>
    <mergeCell ref="AI6:AL7"/>
  </mergeCells>
  <phoneticPr fontId="2"/>
  <pageMargins left="0.23622047244094491" right="0.23622047244094491" top="0.35433070866141736" bottom="0.35433070866141736" header="0.31496062992125984" footer="0.31496062992125984"/>
  <pageSetup paperSize="9" orientation="portrait" r:id="rId1"/>
  <drawing r:id="rId2"/>
  <legacyDrawing r:id="rId3"/>
  <oleObjects>
    <mc:AlternateContent xmlns:mc="http://schemas.openxmlformats.org/markup-compatibility/2006">
      <mc:Choice Requires="x14">
        <oleObject progId="Word.Document.8" shapeId="28023" r:id="rId4">
          <objectPr defaultSize="0" r:id="rId5">
            <anchor moveWithCells="1">
              <from>
                <xdr:col>1</xdr:col>
                <xdr:colOff>38100</xdr:colOff>
                <xdr:row>58</xdr:row>
                <xdr:rowOff>19050</xdr:rowOff>
              </from>
              <to>
                <xdr:col>38</xdr:col>
                <xdr:colOff>66675</xdr:colOff>
                <xdr:row>71</xdr:row>
                <xdr:rowOff>38100</xdr:rowOff>
              </to>
            </anchor>
          </objectPr>
        </oleObject>
      </mc:Choice>
      <mc:Fallback>
        <oleObject progId="Word.Document.8" shapeId="28023" r:id="rId4"/>
      </mc:Fallback>
    </mc:AlternateContent>
    <mc:AlternateContent xmlns:mc="http://schemas.openxmlformats.org/markup-compatibility/2006">
      <mc:Choice Requires="x14">
        <oleObject progId="Word.Document.8" shapeId="28031" r:id="rId6">
          <objectPr defaultSize="0" r:id="rId7">
            <anchor moveWithCells="1">
              <from>
                <xdr:col>0</xdr:col>
                <xdr:colOff>104775</xdr:colOff>
                <xdr:row>73</xdr:row>
                <xdr:rowOff>66675</xdr:rowOff>
              </from>
              <to>
                <xdr:col>38</xdr:col>
                <xdr:colOff>0</xdr:colOff>
                <xdr:row>110</xdr:row>
                <xdr:rowOff>66675</xdr:rowOff>
              </to>
            </anchor>
          </objectPr>
        </oleObject>
      </mc:Choice>
      <mc:Fallback>
        <oleObject progId="Word.Document.8" shapeId="28031"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23"/>
  <sheetViews>
    <sheetView workbookViewId="0">
      <selection activeCell="E76" sqref="E76:F76"/>
    </sheetView>
  </sheetViews>
  <sheetFormatPr defaultRowHeight="13.5"/>
  <cols>
    <col min="1" max="1" width="13.25" customWidth="1"/>
    <col min="2" max="5" width="13.625" customWidth="1"/>
    <col min="6" max="6" width="4.5" customWidth="1"/>
    <col min="7" max="11" width="16.625" customWidth="1"/>
    <col min="12" max="12" width="10.25" customWidth="1"/>
    <col min="13" max="13" width="6.875" customWidth="1"/>
  </cols>
  <sheetData>
    <row r="1" spans="1:13">
      <c r="A1" s="569"/>
      <c r="B1" s="569"/>
      <c r="C1" s="570"/>
      <c r="D1" s="570"/>
      <c r="E1" s="570"/>
      <c r="F1" s="569"/>
      <c r="G1" s="569"/>
      <c r="H1" s="569"/>
      <c r="I1" s="569"/>
      <c r="J1" s="569"/>
      <c r="K1" s="569"/>
      <c r="L1" s="569"/>
      <c r="M1" s="569"/>
    </row>
    <row r="2" spans="1:13" ht="37.5" customHeight="1">
      <c r="A2" s="571"/>
      <c r="B2" s="571"/>
      <c r="C2" s="572"/>
      <c r="D2" s="572"/>
      <c r="E2" s="572"/>
      <c r="F2" s="571"/>
      <c r="G2" s="571" t="s">
        <v>349</v>
      </c>
      <c r="H2" s="571"/>
      <c r="I2" s="571"/>
      <c r="J2" s="571"/>
      <c r="K2" s="571"/>
      <c r="L2" s="571"/>
      <c r="M2" s="571"/>
    </row>
    <row r="3" spans="1:13" ht="45" customHeight="1" thickBot="1">
      <c r="A3" s="719"/>
      <c r="B3" s="719"/>
      <c r="C3" s="572"/>
      <c r="D3" s="572"/>
      <c r="E3" s="572"/>
      <c r="F3" s="571"/>
      <c r="G3" s="573" t="s">
        <v>350</v>
      </c>
      <c r="H3" s="574" t="s">
        <v>351</v>
      </c>
      <c r="I3" s="578" t="s">
        <v>352</v>
      </c>
      <c r="J3" s="578" t="s">
        <v>353</v>
      </c>
      <c r="K3" s="578" t="s">
        <v>354</v>
      </c>
      <c r="L3" s="571"/>
      <c r="M3" s="571"/>
    </row>
    <row r="4" spans="1:13" ht="18" customHeight="1" thickBot="1">
      <c r="A4" s="1132"/>
      <c r="B4" s="572"/>
      <c r="C4" s="572"/>
      <c r="D4" s="572"/>
      <c r="E4" s="572"/>
      <c r="F4" s="571"/>
      <c r="G4" s="588">
        <v>1</v>
      </c>
      <c r="H4" s="588">
        <v>0</v>
      </c>
      <c r="I4" s="575">
        <f>(H4-1)*100000+430000</f>
        <v>330000</v>
      </c>
      <c r="J4" s="576">
        <f>(H4-1)*100000+285000*G4+430000</f>
        <v>615000</v>
      </c>
      <c r="K4" s="576">
        <f>(H4-1)*100000+520000*G4+430000</f>
        <v>850000</v>
      </c>
      <c r="L4" s="571"/>
      <c r="M4" s="571"/>
    </row>
    <row r="5" spans="1:13" ht="18" customHeight="1">
      <c r="A5" s="1132"/>
      <c r="B5" s="572"/>
      <c r="C5" s="572"/>
      <c r="D5" s="572"/>
      <c r="E5" s="572"/>
      <c r="F5" s="571"/>
      <c r="G5" s="577" t="s">
        <v>355</v>
      </c>
      <c r="H5" s="571"/>
      <c r="I5" s="571"/>
      <c r="J5" s="571"/>
      <c r="K5" s="571"/>
      <c r="L5" s="571"/>
      <c r="M5" s="571"/>
    </row>
    <row r="6" spans="1:13" ht="18" customHeight="1">
      <c r="A6" s="1132"/>
      <c r="B6" s="572"/>
      <c r="C6" s="572"/>
      <c r="D6" s="572"/>
      <c r="E6" s="572"/>
      <c r="F6" s="571"/>
      <c r="G6" s="571" t="s">
        <v>356</v>
      </c>
      <c r="H6" s="571"/>
      <c r="I6" s="571"/>
      <c r="J6" s="571"/>
      <c r="K6" s="571"/>
      <c r="L6" s="571"/>
      <c r="M6" s="571"/>
    </row>
    <row r="7" spans="1:13" ht="18" customHeight="1">
      <c r="A7" s="1132"/>
      <c r="B7" s="572"/>
      <c r="C7" s="572"/>
      <c r="D7" s="572"/>
      <c r="E7" s="572"/>
      <c r="F7" s="571"/>
      <c r="G7" s="1131" t="s">
        <v>357</v>
      </c>
      <c r="H7" s="1131"/>
      <c r="I7" s="1131"/>
      <c r="J7" s="1131"/>
      <c r="K7" s="1131"/>
      <c r="L7" s="1131"/>
      <c r="M7" s="571"/>
    </row>
    <row r="8" spans="1:13" ht="18" customHeight="1">
      <c r="A8" s="1132"/>
      <c r="B8" s="572"/>
      <c r="C8" s="572"/>
      <c r="D8" s="572"/>
      <c r="E8" s="572"/>
      <c r="F8" s="571"/>
      <c r="G8" s="1131"/>
      <c r="H8" s="1131"/>
      <c r="I8" s="1131"/>
      <c r="J8" s="1131"/>
      <c r="K8" s="1131"/>
      <c r="L8" s="1131"/>
      <c r="M8" s="571"/>
    </row>
    <row r="9" spans="1:13" ht="18" customHeight="1" thickBot="1">
      <c r="A9" s="1132"/>
      <c r="B9" s="572"/>
      <c r="C9" s="572"/>
      <c r="D9" s="572"/>
      <c r="E9" s="572"/>
      <c r="F9" s="571"/>
      <c r="G9" s="571"/>
      <c r="H9" s="571"/>
      <c r="I9" s="571"/>
      <c r="J9" s="571"/>
      <c r="K9" s="571"/>
      <c r="L9" s="571"/>
      <c r="M9" s="571"/>
    </row>
    <row r="10" spans="1:13" ht="18" customHeight="1">
      <c r="A10" s="1132"/>
      <c r="B10" s="572"/>
      <c r="C10" s="572"/>
      <c r="D10" s="572"/>
      <c r="E10" s="572"/>
      <c r="F10" s="571"/>
      <c r="G10" s="579" t="s">
        <v>358</v>
      </c>
      <c r="H10" s="580"/>
      <c r="I10" s="580"/>
      <c r="J10" s="580"/>
      <c r="K10" s="580"/>
      <c r="L10" s="581"/>
      <c r="M10" s="571"/>
    </row>
    <row r="11" spans="1:13" ht="18" customHeight="1">
      <c r="A11" s="1132"/>
      <c r="B11" s="572"/>
      <c r="C11" s="572"/>
      <c r="D11" s="572"/>
      <c r="E11" s="572"/>
      <c r="F11" s="571"/>
      <c r="G11" s="582" t="s">
        <v>473</v>
      </c>
      <c r="H11" s="569"/>
      <c r="I11" s="569"/>
      <c r="J11" s="569"/>
      <c r="K11" s="583"/>
      <c r="L11" s="583"/>
      <c r="M11" s="571"/>
    </row>
    <row r="12" spans="1:13" ht="18" customHeight="1" thickBot="1">
      <c r="A12" s="1132"/>
      <c r="B12" s="572"/>
      <c r="C12" s="572"/>
      <c r="D12" s="572"/>
      <c r="E12" s="572"/>
      <c r="F12" s="571"/>
      <c r="G12" s="584" t="s">
        <v>474</v>
      </c>
      <c r="H12" s="585"/>
      <c r="I12" s="585"/>
      <c r="J12" s="585"/>
      <c r="K12" s="586"/>
      <c r="L12" s="586"/>
      <c r="M12" s="571"/>
    </row>
    <row r="13" spans="1:13" ht="18" customHeight="1">
      <c r="A13" s="1132"/>
      <c r="B13" s="572"/>
      <c r="C13" s="572"/>
      <c r="D13" s="572"/>
      <c r="E13" s="572"/>
      <c r="F13" s="571"/>
      <c r="G13" s="571"/>
      <c r="H13" s="571"/>
      <c r="I13" s="571"/>
      <c r="J13" s="571"/>
      <c r="K13" s="571"/>
      <c r="L13" s="571"/>
      <c r="M13" s="571"/>
    </row>
    <row r="14" spans="1:13" ht="18" customHeight="1">
      <c r="A14" s="1132"/>
      <c r="B14" s="572"/>
      <c r="C14" s="572"/>
      <c r="D14" s="572"/>
      <c r="E14" s="572"/>
      <c r="F14" s="571"/>
      <c r="G14" s="571"/>
      <c r="H14" s="571"/>
      <c r="I14" s="571"/>
      <c r="J14" s="571"/>
      <c r="K14" s="571"/>
      <c r="L14" s="571"/>
      <c r="M14" s="571"/>
    </row>
    <row r="15" spans="1:13" ht="18" customHeight="1">
      <c r="A15" s="1132"/>
      <c r="B15" s="572"/>
      <c r="C15" s="572"/>
      <c r="D15" s="572"/>
      <c r="E15" s="572"/>
      <c r="F15" s="571"/>
      <c r="G15" s="571"/>
      <c r="H15" s="571"/>
      <c r="I15" s="571"/>
      <c r="J15" s="571"/>
      <c r="K15" s="571"/>
      <c r="L15" s="571"/>
      <c r="M15" s="571"/>
    </row>
    <row r="16" spans="1:13" ht="18" customHeight="1">
      <c r="A16" s="1132"/>
      <c r="B16" s="572"/>
      <c r="C16" s="572"/>
      <c r="D16" s="572"/>
      <c r="E16" s="572"/>
      <c r="F16" s="571"/>
      <c r="G16" s="571"/>
      <c r="H16" s="571"/>
      <c r="I16" s="571"/>
      <c r="J16" s="571"/>
      <c r="K16" s="571"/>
      <c r="L16" s="571"/>
      <c r="M16" s="571"/>
    </row>
    <row r="17" spans="1:13" ht="18" customHeight="1">
      <c r="A17" s="1132"/>
      <c r="B17" s="572"/>
      <c r="C17" s="572"/>
      <c r="D17" s="572"/>
      <c r="E17" s="572"/>
      <c r="F17" s="571"/>
      <c r="G17" s="571"/>
      <c r="H17" s="571"/>
      <c r="I17" s="571"/>
      <c r="J17" s="571"/>
      <c r="K17" s="571"/>
      <c r="L17" s="571"/>
      <c r="M17" s="571"/>
    </row>
    <row r="18" spans="1:13" ht="14.25">
      <c r="A18" s="1132"/>
      <c r="B18" s="572"/>
      <c r="C18" s="572"/>
      <c r="D18" s="572"/>
      <c r="E18" s="572"/>
      <c r="F18" s="569"/>
      <c r="G18" s="569"/>
      <c r="H18" s="569"/>
      <c r="I18" s="569"/>
      <c r="J18" s="569"/>
      <c r="K18" s="569"/>
      <c r="L18" s="569"/>
      <c r="M18" s="569"/>
    </row>
    <row r="19" spans="1:13" ht="14.25">
      <c r="A19" s="1132"/>
      <c r="B19" s="572"/>
      <c r="C19" s="572"/>
      <c r="D19" s="572"/>
      <c r="E19" s="572"/>
      <c r="F19" s="569"/>
      <c r="G19" s="569"/>
      <c r="H19" s="569"/>
      <c r="I19" s="569"/>
      <c r="J19" s="569"/>
      <c r="K19" s="569"/>
      <c r="L19" s="569"/>
      <c r="M19" s="569"/>
    </row>
    <row r="20" spans="1:13" ht="14.25">
      <c r="A20" s="1132"/>
      <c r="B20" s="572"/>
      <c r="C20" s="572"/>
      <c r="D20" s="572"/>
      <c r="E20" s="572"/>
      <c r="F20" s="569"/>
      <c r="G20" s="569"/>
      <c r="H20" s="569"/>
      <c r="I20" s="569"/>
      <c r="J20" s="569"/>
      <c r="K20" s="569"/>
      <c r="L20" s="569"/>
      <c r="M20" s="569"/>
    </row>
    <row r="21" spans="1:13" ht="14.25">
      <c r="A21" s="1132"/>
      <c r="B21" s="572"/>
      <c r="C21" s="572"/>
      <c r="D21" s="572"/>
      <c r="E21" s="572"/>
    </row>
    <row r="22" spans="1:13" ht="14.25">
      <c r="A22" s="1132"/>
      <c r="B22" s="572"/>
      <c r="C22" s="572"/>
      <c r="D22" s="572"/>
      <c r="E22" s="572"/>
    </row>
    <row r="23" spans="1:13" ht="14.25">
      <c r="A23" s="1132"/>
      <c r="B23" s="572"/>
      <c r="C23" s="572"/>
      <c r="D23" s="572"/>
      <c r="E23" s="572"/>
    </row>
  </sheetData>
  <mergeCells count="6">
    <mergeCell ref="G7:L8"/>
    <mergeCell ref="A18:A23"/>
    <mergeCell ref="A4:A5"/>
    <mergeCell ref="A6:A8"/>
    <mergeCell ref="A9:A12"/>
    <mergeCell ref="A13:A17"/>
  </mergeCells>
  <phoneticPr fontId="109"/>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CE70"/>
  <sheetViews>
    <sheetView showGridLines="0" showZeros="0" view="pageBreakPreview" zoomScale="63" zoomScaleNormal="77" zoomScaleSheetLayoutView="75" workbookViewId="0">
      <pane xSplit="7" ySplit="2" topLeftCell="H12" activePane="bottomRight" state="frozen"/>
      <selection activeCell="E76" sqref="E76:F76"/>
      <selection pane="topRight" activeCell="E76" sqref="E76:F76"/>
      <selection pane="bottomLeft" activeCell="E76" sqref="E76:F76"/>
      <selection pane="bottomRight" activeCell="E76" sqref="E76:F76"/>
    </sheetView>
  </sheetViews>
  <sheetFormatPr defaultColWidth="8.875" defaultRowHeight="15"/>
  <cols>
    <col min="1" max="1" width="11.625" style="124" customWidth="1"/>
    <col min="2" max="2" width="15.5" style="124" customWidth="1"/>
    <col min="3" max="3" width="4.625" style="124" customWidth="1"/>
    <col min="4" max="4" width="3.875" style="124" customWidth="1"/>
    <col min="5" max="5" width="12.375" style="3" customWidth="1"/>
    <col min="6" max="6" width="11.375" style="3" customWidth="1"/>
    <col min="7" max="7" width="4.875" style="3" customWidth="1"/>
    <col min="8" max="8" width="5.25" style="2" customWidth="1"/>
    <col min="9" max="9" width="11.125" style="2" customWidth="1"/>
    <col min="10" max="10" width="5.25" style="2" customWidth="1"/>
    <col min="11" max="11" width="10.375" style="2" customWidth="1"/>
    <col min="12" max="12" width="5.25" style="2" customWidth="1"/>
    <col min="13" max="13" width="11.125" style="2" customWidth="1"/>
    <col min="14" max="14" width="5.25" style="2" customWidth="1"/>
    <col min="15" max="15" width="10.375" style="2" customWidth="1"/>
    <col min="16" max="16" width="5.25" style="2" customWidth="1"/>
    <col min="17" max="17" width="11.125" style="2" customWidth="1"/>
    <col min="18" max="18" width="5.25" style="2" customWidth="1"/>
    <col min="19" max="19" width="10.375" style="2" customWidth="1"/>
    <col min="20" max="20" width="5.25" style="2" customWidth="1"/>
    <col min="21" max="21" width="11.125" style="2" customWidth="1"/>
    <col min="22" max="22" width="5.25" style="2" customWidth="1"/>
    <col min="23" max="23" width="10.375" style="2" customWidth="1"/>
    <col min="24" max="24" width="4.875" style="3" customWidth="1"/>
    <col min="25" max="26" width="12.5" style="3" customWidth="1"/>
    <col min="27" max="27" width="5.25" style="3" customWidth="1"/>
    <col min="28" max="28" width="17" style="3" customWidth="1"/>
    <col min="29" max="32" width="8.875" style="3" customWidth="1"/>
    <col min="33" max="36" width="9.25" style="2" customWidth="1"/>
    <col min="37" max="37" width="9.25" style="3" customWidth="1"/>
    <col min="38" max="41" width="9.25" style="2" customWidth="1"/>
    <col min="42" max="44" width="9.25" style="3" customWidth="1"/>
    <col min="45" max="48" width="9.25" style="2" customWidth="1"/>
    <col min="49" max="49" width="9.25" style="3" customWidth="1"/>
    <col min="50" max="53" width="9.25" style="2" customWidth="1"/>
    <col min="54" max="54" width="9.25" style="12" customWidth="1"/>
    <col min="55" max="55" width="8.875" style="3" customWidth="1"/>
    <col min="56" max="56" width="4" style="3" customWidth="1"/>
    <col min="57" max="57" width="17" style="3" customWidth="1"/>
    <col min="58" max="61" width="8.875" style="3" customWidth="1"/>
    <col min="62" max="65" width="9.25" style="2" customWidth="1"/>
    <col min="66" max="66" width="9.25" style="3" customWidth="1"/>
    <col min="67" max="70" width="9.25" style="2" customWidth="1"/>
    <col min="71" max="73" width="9.25" style="3" customWidth="1"/>
    <col min="74" max="77" width="9.25" style="2" customWidth="1"/>
    <col min="78" max="78" width="9.25" style="3" customWidth="1"/>
    <col min="79" max="82" width="9.25" style="2" customWidth="1"/>
    <col min="83" max="83" width="9.25" style="12" customWidth="1"/>
    <col min="84" max="16384" width="8.875" style="3"/>
  </cols>
  <sheetData>
    <row r="1" spans="1:83" ht="39" customHeight="1" thickTop="1" thickBot="1">
      <c r="A1" s="145">
        <f>入力画面!C60</f>
        <v>0</v>
      </c>
      <c r="B1" s="145"/>
      <c r="C1" s="145"/>
      <c r="D1" s="145"/>
      <c r="E1" s="145"/>
      <c r="F1" s="145"/>
      <c r="G1" s="145"/>
      <c r="H1" s="145"/>
      <c r="I1" s="145"/>
      <c r="J1" s="145"/>
      <c r="K1" s="145"/>
      <c r="L1" s="145"/>
      <c r="M1" s="145"/>
      <c r="N1" s="145"/>
      <c r="O1" s="145"/>
      <c r="P1" s="145"/>
      <c r="Q1" s="145"/>
      <c r="R1" s="145"/>
      <c r="S1" s="145"/>
      <c r="T1" s="145"/>
      <c r="U1" s="145"/>
      <c r="V1" s="145"/>
      <c r="W1" s="145"/>
      <c r="X1" s="145"/>
      <c r="AA1" s="272">
        <f>'医療分・支援・介護分（印刷））'!AG6+'医療分・支援・介護分（印刷））'!AG95+'医療分・支援・介護分（印刷））'!AG184</f>
        <v>0</v>
      </c>
      <c r="AB1" s="1158" t="s">
        <v>96</v>
      </c>
      <c r="AC1" s="1158"/>
      <c r="AD1" s="1158"/>
      <c r="AE1" s="1158"/>
      <c r="AF1" s="1158"/>
      <c r="AG1" s="1158"/>
      <c r="AH1" s="1158"/>
      <c r="AI1" s="1158"/>
      <c r="AJ1" s="1158"/>
      <c r="AK1" s="1157" t="s">
        <v>103</v>
      </c>
      <c r="AL1" s="1157"/>
      <c r="AM1" s="1157"/>
      <c r="AN1" s="1157"/>
      <c r="AO1" s="1157"/>
      <c r="AP1" s="1157"/>
      <c r="AQ1" s="7"/>
      <c r="AR1" s="4"/>
      <c r="AS1" s="148"/>
      <c r="AT1" s="148"/>
      <c r="AU1" s="148"/>
      <c r="AV1" s="148"/>
      <c r="AW1" s="4"/>
      <c r="AX1" s="148"/>
      <c r="AY1" s="148"/>
      <c r="AZ1" s="148"/>
      <c r="BA1" s="148"/>
      <c r="BD1" s="147"/>
      <c r="BE1" s="1158" t="s">
        <v>96</v>
      </c>
      <c r="BF1" s="1158"/>
      <c r="BG1" s="1158"/>
      <c r="BH1" s="1158"/>
      <c r="BI1" s="1158"/>
      <c r="BJ1" s="1158"/>
      <c r="BK1" s="1158"/>
      <c r="BL1" s="1158"/>
      <c r="BM1" s="1158"/>
      <c r="BN1" s="1157" t="s">
        <v>102</v>
      </c>
      <c r="BO1" s="1157"/>
      <c r="BP1" s="1157"/>
      <c r="BQ1" s="1157"/>
      <c r="BR1" s="1157"/>
      <c r="BS1" s="1157"/>
      <c r="BT1" s="7"/>
      <c r="BU1" s="4"/>
      <c r="BV1" s="148"/>
      <c r="BW1" s="148"/>
      <c r="BX1" s="148"/>
      <c r="BY1" s="148"/>
      <c r="BZ1" s="4"/>
      <c r="CA1" s="148"/>
      <c r="CB1" s="148"/>
      <c r="CC1" s="148"/>
      <c r="CD1" s="148"/>
    </row>
    <row r="2" spans="1:83" ht="39" customHeight="1" thickTop="1" thickBot="1">
      <c r="A2" s="145"/>
      <c r="B2" s="1168">
        <f>IF('医療分・支援・介護分（印刷））'!AG6+'医療分・支援・介護分（印刷））'!AG184&gt;0,"＊＊＊!！限度超過のため内訳計算不可!！＊＊＊",0)</f>
        <v>0</v>
      </c>
      <c r="C2" s="1168"/>
      <c r="D2" s="1168"/>
      <c r="E2" s="1168"/>
      <c r="F2" s="1168"/>
      <c r="G2" s="1168"/>
      <c r="H2" s="1168"/>
      <c r="I2" s="1168"/>
      <c r="J2" s="1168"/>
      <c r="K2" s="1168"/>
      <c r="L2" s="1168"/>
      <c r="M2" s="1168"/>
      <c r="N2" s="1168"/>
      <c r="O2" s="1168"/>
      <c r="P2" s="1168"/>
      <c r="Q2" s="1168"/>
      <c r="R2" s="1168"/>
      <c r="S2" s="1168"/>
      <c r="T2" s="145"/>
      <c r="U2" s="145"/>
      <c r="V2" s="145"/>
      <c r="W2" s="145"/>
      <c r="X2" s="145"/>
      <c r="AA2" s="1161" t="s">
        <v>175</v>
      </c>
      <c r="AB2" s="254"/>
      <c r="AC2" s="254"/>
      <c r="AD2" s="254"/>
      <c r="AE2" s="254"/>
      <c r="AF2" s="254"/>
      <c r="AG2" s="254"/>
      <c r="AH2" s="254"/>
      <c r="AI2" s="254"/>
      <c r="AJ2" s="254"/>
      <c r="AK2" s="255"/>
      <c r="AL2" s="255"/>
      <c r="AM2" s="255"/>
      <c r="AN2" s="255"/>
      <c r="AO2" s="255"/>
      <c r="AP2" s="255"/>
      <c r="AQ2" s="4"/>
      <c r="AR2" s="4"/>
      <c r="AS2" s="256"/>
      <c r="AT2" s="256"/>
      <c r="AU2" s="256"/>
      <c r="AV2" s="256"/>
      <c r="AW2" s="4"/>
      <c r="AX2" s="256"/>
      <c r="AY2" s="256"/>
      <c r="AZ2" s="256"/>
      <c r="BA2" s="256"/>
      <c r="BD2" s="56"/>
      <c r="BE2" s="254"/>
      <c r="BF2" s="254"/>
      <c r="BG2" s="254"/>
      <c r="BH2" s="254"/>
      <c r="BI2" s="254"/>
      <c r="BJ2" s="254"/>
      <c r="BK2" s="254"/>
      <c r="BL2" s="254"/>
      <c r="BM2" s="254"/>
      <c r="BN2" s="255"/>
      <c r="BO2" s="255"/>
      <c r="BP2" s="255"/>
      <c r="BQ2" s="255"/>
      <c r="BR2" s="255"/>
      <c r="BS2" s="255"/>
      <c r="BT2" s="4"/>
      <c r="BU2" s="4"/>
      <c r="BV2" s="256"/>
      <c r="BW2" s="256"/>
      <c r="BX2" s="256"/>
      <c r="BY2" s="256"/>
      <c r="BZ2" s="4"/>
      <c r="CA2" s="256"/>
      <c r="CB2" s="256"/>
      <c r="CC2" s="256"/>
      <c r="CD2" s="256"/>
    </row>
    <row r="3" spans="1:83" ht="30" customHeight="1" thickTop="1">
      <c r="A3" s="1221" t="s">
        <v>60</v>
      </c>
      <c r="B3" s="1222"/>
      <c r="C3" s="1223"/>
      <c r="D3" s="145"/>
      <c r="E3" s="1224" t="s">
        <v>81</v>
      </c>
      <c r="F3" s="1225"/>
      <c r="G3" s="1226"/>
      <c r="H3" s="145"/>
      <c r="I3" s="145"/>
      <c r="J3" s="145"/>
      <c r="K3" s="145"/>
      <c r="L3" s="145"/>
      <c r="M3" s="145"/>
      <c r="N3" s="145"/>
      <c r="O3" s="145"/>
      <c r="P3" s="145"/>
      <c r="Q3" s="145"/>
      <c r="R3" s="145"/>
      <c r="S3" s="145"/>
      <c r="T3" s="145"/>
      <c r="U3" s="145"/>
      <c r="V3" s="145"/>
      <c r="W3" s="145"/>
      <c r="X3" s="145"/>
      <c r="AA3" s="1162"/>
      <c r="AB3" s="254"/>
      <c r="AC3" s="254"/>
      <c r="AD3" s="254"/>
      <c r="AE3" s="254"/>
      <c r="AF3" s="254"/>
      <c r="AG3" s="254"/>
      <c r="AH3" s="254"/>
      <c r="AI3" s="254"/>
      <c r="AJ3" s="254"/>
      <c r="AK3" s="255"/>
      <c r="AL3" s="255"/>
      <c r="AM3" s="255"/>
      <c r="AN3" s="255"/>
      <c r="AO3" s="255"/>
      <c r="AP3" s="255"/>
      <c r="AQ3" s="4"/>
      <c r="AR3" s="4"/>
      <c r="AS3" s="256"/>
      <c r="AT3" s="256"/>
      <c r="AU3" s="256"/>
      <c r="AV3" s="256"/>
      <c r="AW3" s="4"/>
      <c r="AX3" s="256"/>
      <c r="AY3" s="256"/>
      <c r="AZ3" s="256"/>
      <c r="BA3" s="256"/>
      <c r="BD3" s="56"/>
      <c r="BE3" s="254"/>
      <c r="BF3" s="254"/>
      <c r="BG3" s="254"/>
      <c r="BH3" s="254"/>
      <c r="BI3" s="254"/>
      <c r="BJ3" s="254"/>
      <c r="BK3" s="254"/>
      <c r="BL3" s="254"/>
      <c r="BM3" s="254"/>
      <c r="BN3" s="255"/>
      <c r="BO3" s="255"/>
      <c r="BP3" s="255"/>
      <c r="BQ3" s="255"/>
      <c r="BR3" s="255"/>
      <c r="BS3" s="255"/>
      <c r="BT3" s="4"/>
      <c r="BU3" s="4"/>
      <c r="BV3" s="256"/>
      <c r="BW3" s="256"/>
      <c r="BX3" s="256"/>
      <c r="BY3" s="256"/>
      <c r="BZ3" s="4"/>
      <c r="CA3" s="256"/>
      <c r="CB3" s="256"/>
      <c r="CC3" s="256"/>
      <c r="CD3" s="256"/>
    </row>
    <row r="4" spans="1:83" ht="30" customHeight="1">
      <c r="A4" s="134" t="s">
        <v>78</v>
      </c>
      <c r="B4" s="1219">
        <f>入力画面!D9</f>
        <v>0</v>
      </c>
      <c r="C4" s="1220"/>
      <c r="D4" s="3"/>
      <c r="E4" s="1227" t="s">
        <v>69</v>
      </c>
      <c r="F4" s="1235">
        <f>'医療分・支援・介護分（印刷））'!L87</f>
        <v>12000</v>
      </c>
      <c r="G4" s="1237" t="s">
        <v>6</v>
      </c>
      <c r="H4" s="3"/>
      <c r="I4" s="3"/>
      <c r="J4" s="3"/>
      <c r="K4" s="3"/>
      <c r="L4" s="3"/>
      <c r="M4" s="3"/>
      <c r="N4" s="3"/>
      <c r="O4" s="3"/>
      <c r="P4" s="3"/>
      <c r="Q4" s="3"/>
      <c r="R4" s="3"/>
      <c r="S4" s="3"/>
      <c r="AA4" s="1162"/>
      <c r="AB4" s="12"/>
      <c r="AC4" s="12"/>
      <c r="AD4" s="12"/>
      <c r="AE4" s="12"/>
      <c r="AF4" s="12"/>
      <c r="AG4" s="4"/>
      <c r="AH4" s="4"/>
      <c r="AI4" s="4"/>
      <c r="AJ4" s="4"/>
      <c r="AK4" s="12"/>
      <c r="AL4" s="4"/>
      <c r="AM4" s="4"/>
      <c r="AN4" s="4"/>
      <c r="AO4" s="4"/>
      <c r="AP4" s="12"/>
      <c r="AQ4" s="12"/>
      <c r="AR4" s="12"/>
      <c r="AS4" s="4"/>
      <c r="AT4" s="4"/>
      <c r="AU4" s="4"/>
      <c r="AV4" s="4"/>
      <c r="AW4" s="12"/>
      <c r="AX4" s="4"/>
      <c r="AY4" s="4"/>
      <c r="AZ4" s="4"/>
      <c r="BA4" s="4"/>
      <c r="BC4" s="12"/>
      <c r="BD4" s="56"/>
      <c r="BE4" s="12"/>
      <c r="BF4" s="12"/>
      <c r="BG4" s="12"/>
      <c r="BH4" s="12"/>
      <c r="BI4" s="12"/>
      <c r="BJ4" s="4"/>
      <c r="BK4" s="4"/>
      <c r="BL4" s="4"/>
      <c r="BM4" s="4"/>
      <c r="BN4" s="12"/>
      <c r="BO4" s="4"/>
      <c r="BP4" s="4"/>
      <c r="BQ4" s="4"/>
      <c r="BR4" s="4"/>
      <c r="BS4" s="12"/>
      <c r="BT4" s="12"/>
      <c r="BU4" s="12"/>
      <c r="BV4" s="4"/>
      <c r="BW4" s="4"/>
      <c r="BX4" s="4"/>
      <c r="BY4" s="4"/>
      <c r="BZ4" s="12"/>
      <c r="CA4" s="4"/>
      <c r="CB4" s="4"/>
      <c r="CC4" s="4"/>
      <c r="CD4" s="4"/>
      <c r="CE4" s="13"/>
    </row>
    <row r="5" spans="1:83" ht="30" customHeight="1" thickBot="1">
      <c r="A5" s="1249">
        <f>入力画面!G9</f>
        <v>7</v>
      </c>
      <c r="B5" s="1249"/>
      <c r="C5" s="1249"/>
      <c r="E5" s="1228"/>
      <c r="F5" s="1236"/>
      <c r="G5" s="1238"/>
      <c r="H5" s="1233" t="s">
        <v>69</v>
      </c>
      <c r="I5" s="1233"/>
      <c r="J5" s="1233"/>
      <c r="K5" s="1234"/>
      <c r="L5" s="1232" t="s">
        <v>159</v>
      </c>
      <c r="M5" s="1233"/>
      <c r="N5" s="1233"/>
      <c r="O5" s="1234"/>
      <c r="P5" s="1232" t="s">
        <v>70</v>
      </c>
      <c r="Q5" s="1233"/>
      <c r="R5" s="1233"/>
      <c r="S5" s="1234"/>
      <c r="T5" s="1232" t="s">
        <v>76</v>
      </c>
      <c r="U5" s="1233"/>
      <c r="V5" s="1233"/>
      <c r="W5" s="1234"/>
      <c r="AA5" s="1162"/>
      <c r="AB5" s="12"/>
      <c r="AC5" s="12"/>
      <c r="AD5" s="12"/>
      <c r="AE5" s="12"/>
      <c r="AF5" s="12"/>
      <c r="AG5" s="1146" t="s">
        <v>101</v>
      </c>
      <c r="AH5" s="1147"/>
      <c r="AI5" s="1147"/>
      <c r="AJ5" s="1148"/>
      <c r="AK5" s="12"/>
      <c r="AL5" s="1146" t="s">
        <v>95</v>
      </c>
      <c r="AM5" s="1147"/>
      <c r="AN5" s="1147"/>
      <c r="AO5" s="1148"/>
      <c r="AP5" s="12"/>
      <c r="AQ5" s="12"/>
      <c r="AR5" s="12"/>
      <c r="AS5" s="1146" t="s">
        <v>98</v>
      </c>
      <c r="AT5" s="1147"/>
      <c r="AU5" s="1147"/>
      <c r="AV5" s="1148"/>
      <c r="AW5" s="12"/>
      <c r="AX5" s="1146" t="s">
        <v>98</v>
      </c>
      <c r="AY5" s="1147"/>
      <c r="AZ5" s="1147"/>
      <c r="BA5" s="1148"/>
      <c r="BC5" s="12"/>
      <c r="BD5" s="56"/>
      <c r="BE5" s="12"/>
      <c r="BF5" s="12"/>
      <c r="BG5" s="12"/>
      <c r="BH5" s="12"/>
      <c r="BI5" s="12"/>
      <c r="BJ5" s="1146" t="s">
        <v>101</v>
      </c>
      <c r="BK5" s="1147"/>
      <c r="BL5" s="1147"/>
      <c r="BM5" s="1148"/>
      <c r="BN5" s="12"/>
      <c r="BO5" s="1146" t="s">
        <v>95</v>
      </c>
      <c r="BP5" s="1147"/>
      <c r="BQ5" s="1147"/>
      <c r="BR5" s="1148"/>
      <c r="BS5" s="12"/>
      <c r="BT5" s="12"/>
      <c r="BU5" s="12"/>
      <c r="BV5" s="1146" t="s">
        <v>98</v>
      </c>
      <c r="BW5" s="1147"/>
      <c r="BX5" s="1147"/>
      <c r="BY5" s="1148"/>
      <c r="BZ5" s="12"/>
      <c r="CA5" s="1146" t="s">
        <v>98</v>
      </c>
      <c r="CB5" s="1147"/>
      <c r="CC5" s="1147"/>
      <c r="CD5" s="1148"/>
      <c r="CE5" s="13"/>
    </row>
    <row r="6" spans="1:83" ht="30" customHeight="1" thickTop="1">
      <c r="A6" s="1250" t="s">
        <v>163</v>
      </c>
      <c r="B6" s="1242">
        <f>'医療分・支援・介護分（印刷））'!Y11+'医療分・支援・介護分（印刷））'!Y100+'医療分・支援・介護分（印刷））'!Y189</f>
        <v>1342</v>
      </c>
      <c r="C6" s="1239" t="s">
        <v>6</v>
      </c>
      <c r="E6" s="1245" t="s">
        <v>159</v>
      </c>
      <c r="F6" s="1229">
        <f>'医療分・支援・介護分（印刷））'!L176</f>
        <v>4100</v>
      </c>
      <c r="G6" s="1231" t="s">
        <v>6</v>
      </c>
      <c r="H6" s="135" t="s">
        <v>34</v>
      </c>
      <c r="I6" s="23">
        <f>IF($AA$1&gt;0,0,'医療分・支援・介護分（印刷））'!X5)</f>
        <v>1267</v>
      </c>
      <c r="J6" s="24" t="s">
        <v>39</v>
      </c>
      <c r="K6" s="25">
        <f>IF($AA$1&gt;0,0,'医療分・支援・介護分（印刷））'!Z5)</f>
        <v>1192</v>
      </c>
      <c r="L6" s="22" t="s">
        <v>34</v>
      </c>
      <c r="M6" s="23">
        <f>IF($AA$1&gt;0,0,'医療分・支援・介護分（印刷））'!X94)</f>
        <v>433</v>
      </c>
      <c r="N6" s="24" t="s">
        <v>39</v>
      </c>
      <c r="O6" s="25">
        <f>IF($AA$1&gt;0,0,'医療分・支援・介護分（印刷））'!Z94)</f>
        <v>408</v>
      </c>
      <c r="P6" s="22" t="s">
        <v>34</v>
      </c>
      <c r="Q6" s="23">
        <f>IF($AA$1&gt;0,0,'医療分・支援・介護分（印刷））'!X183)</f>
        <v>0</v>
      </c>
      <c r="R6" s="24" t="s">
        <v>39</v>
      </c>
      <c r="S6" s="25">
        <f>IF($AA$1&gt;0,0,'医療分・支援・介護分（印刷））'!Z183)</f>
        <v>0</v>
      </c>
      <c r="T6" s="22" t="s">
        <v>34</v>
      </c>
      <c r="U6" s="23">
        <f t="shared" ref="U6:U11" si="0">I6+M6+Q6</f>
        <v>1700</v>
      </c>
      <c r="V6" s="24" t="s">
        <v>39</v>
      </c>
      <c r="W6" s="25">
        <f>K6+O6+S6</f>
        <v>1600</v>
      </c>
      <c r="AA6" s="1162"/>
      <c r="AB6" s="146" t="s">
        <v>92</v>
      </c>
      <c r="AC6" s="1153">
        <f>IF(入力画面!R7=1,入力画面!$Q$5,0)</f>
        <v>0</v>
      </c>
      <c r="AD6" s="1154"/>
      <c r="AE6" s="21" t="s">
        <v>6</v>
      </c>
      <c r="AF6" s="12"/>
      <c r="AG6" s="28" t="s">
        <v>34</v>
      </c>
      <c r="AH6" s="29">
        <f>U6</f>
        <v>1700</v>
      </c>
      <c r="AI6" s="30" t="s">
        <v>39</v>
      </c>
      <c r="AJ6" s="31">
        <f>U6+U7+U8+U9+U10+U11+W6</f>
        <v>11300</v>
      </c>
      <c r="AK6" s="12"/>
      <c r="AL6" s="28" t="s">
        <v>34</v>
      </c>
      <c r="AM6" s="29">
        <f>IF($AC$6=$AH$6,AH6,0)</f>
        <v>0</v>
      </c>
      <c r="AN6" s="30" t="s">
        <v>39</v>
      </c>
      <c r="AO6" s="31">
        <f>IF($AC$6=$AJ$6,AJ6,0)</f>
        <v>0</v>
      </c>
      <c r="AP6" s="12"/>
      <c r="AQ6" s="12"/>
      <c r="AR6" s="12"/>
      <c r="AS6" s="28" t="s">
        <v>34</v>
      </c>
      <c r="AT6" s="29">
        <f t="shared" ref="AT6:AT11" si="1">IF(AM6=0,0,1)</f>
        <v>0</v>
      </c>
      <c r="AU6" s="30" t="s">
        <v>39</v>
      </c>
      <c r="AV6" s="31">
        <f>IF(AO6=0,0,1)</f>
        <v>0</v>
      </c>
      <c r="AW6" s="12"/>
      <c r="AX6" s="28" t="s">
        <v>34</v>
      </c>
      <c r="AY6" s="29">
        <f t="shared" ref="AY6:AY11" si="2">IF(AT6=1,AH6,0)</f>
        <v>0</v>
      </c>
      <c r="AZ6" s="30" t="s">
        <v>39</v>
      </c>
      <c r="BA6" s="31">
        <f>IF(AV6=1,AJ6,0)</f>
        <v>0</v>
      </c>
      <c r="BC6" s="12"/>
      <c r="BD6" s="56"/>
      <c r="BE6" s="146" t="s">
        <v>92</v>
      </c>
      <c r="BF6" s="1153">
        <f>IF(入力画面!R8=1,入力画面!$Q$5,0)</f>
        <v>0</v>
      </c>
      <c r="BG6" s="1154"/>
      <c r="BH6" s="21" t="s">
        <v>6</v>
      </c>
      <c r="BI6" s="12"/>
      <c r="BJ6" s="28" t="s">
        <v>143</v>
      </c>
      <c r="BK6" s="29">
        <f>U6+U7+U8+U9+U10+U11+W6+W7+W8+W9</f>
        <v>16100</v>
      </c>
      <c r="BL6" s="30" t="s">
        <v>39</v>
      </c>
      <c r="BM6" s="31">
        <f>SUM(W6:W9)</f>
        <v>6400</v>
      </c>
      <c r="BN6" s="12"/>
      <c r="BO6" s="28" t="s">
        <v>34</v>
      </c>
      <c r="BP6" s="29">
        <f>IF($BF$6=$BK$6,BK6,0)</f>
        <v>0</v>
      </c>
      <c r="BQ6" s="30" t="s">
        <v>39</v>
      </c>
      <c r="BR6" s="31">
        <f>IF($BF$6=$BM$6,BM6,0)</f>
        <v>0</v>
      </c>
      <c r="BS6" s="12"/>
      <c r="BT6" s="12"/>
      <c r="BU6" s="12"/>
      <c r="BV6" s="28" t="s">
        <v>34</v>
      </c>
      <c r="BW6" s="29">
        <f t="shared" ref="BW6:BW11" si="3">IF(BP6=0,0,1)</f>
        <v>0</v>
      </c>
      <c r="BX6" s="30" t="s">
        <v>39</v>
      </c>
      <c r="BY6" s="31">
        <f>IF(BR6=0,0,1)</f>
        <v>0</v>
      </c>
      <c r="BZ6" s="12"/>
      <c r="CA6" s="28" t="s">
        <v>34</v>
      </c>
      <c r="CB6" s="29">
        <f t="shared" ref="CB6:CB11" si="4">IF(BW6=1,BK6,0)</f>
        <v>0</v>
      </c>
      <c r="CC6" s="30" t="s">
        <v>39</v>
      </c>
      <c r="CD6" s="31">
        <f>IF(BY6=1,BM6,0)</f>
        <v>0</v>
      </c>
      <c r="CE6" s="13"/>
    </row>
    <row r="7" spans="1:83" ht="30" customHeight="1">
      <c r="A7" s="1251"/>
      <c r="B7" s="1243"/>
      <c r="C7" s="1240"/>
      <c r="D7" s="131"/>
      <c r="E7" s="1245"/>
      <c r="F7" s="1230"/>
      <c r="G7" s="1231"/>
      <c r="H7" s="82" t="s">
        <v>35</v>
      </c>
      <c r="I7" s="29">
        <f>IF($AA$1&gt;0,0,'医療分・支援・介護分（印刷））'!X6)</f>
        <v>1193</v>
      </c>
      <c r="J7" s="30" t="s">
        <v>40</v>
      </c>
      <c r="K7" s="31">
        <f>IF($AA$1&gt;0,0,'医療分・支援・介護分（印刷））'!Z6)</f>
        <v>1192</v>
      </c>
      <c r="L7" s="28" t="s">
        <v>35</v>
      </c>
      <c r="M7" s="29">
        <f>IF($AA$1&gt;0,0,'医療分・支援・介護分（印刷））'!X95)</f>
        <v>407</v>
      </c>
      <c r="N7" s="30" t="s">
        <v>40</v>
      </c>
      <c r="O7" s="31">
        <f>IF($AA$1&gt;0,0,'医療分・支援・介護分（印刷））'!Z95)</f>
        <v>408</v>
      </c>
      <c r="P7" s="28" t="s">
        <v>35</v>
      </c>
      <c r="Q7" s="29">
        <f>IF($AA$1&gt;0,0,'医療分・支援・介護分（印刷））'!X184)</f>
        <v>0</v>
      </c>
      <c r="R7" s="30" t="s">
        <v>40</v>
      </c>
      <c r="S7" s="31">
        <f>IF($AA$1&gt;0,0,'医療分・支援・介護分（印刷））'!Z184)</f>
        <v>0</v>
      </c>
      <c r="T7" s="28" t="s">
        <v>35</v>
      </c>
      <c r="U7" s="29">
        <f t="shared" si="0"/>
        <v>1600</v>
      </c>
      <c r="V7" s="30" t="s">
        <v>40</v>
      </c>
      <c r="W7" s="31">
        <f>K7+O7+S7</f>
        <v>1600</v>
      </c>
      <c r="AA7" s="1162"/>
      <c r="AB7" s="12"/>
      <c r="AC7" s="1137"/>
      <c r="AD7" s="1138"/>
      <c r="AE7" s="50"/>
      <c r="AF7" s="12"/>
      <c r="AG7" s="28" t="s">
        <v>35</v>
      </c>
      <c r="AH7" s="29">
        <f>SUM(U6:U7)</f>
        <v>3300</v>
      </c>
      <c r="AI7" s="30" t="s">
        <v>40</v>
      </c>
      <c r="AJ7" s="31">
        <f>U6+U7+U8+U9+U10+U11+W6+W7</f>
        <v>12900</v>
      </c>
      <c r="AK7" s="12"/>
      <c r="AL7" s="28" t="s">
        <v>35</v>
      </c>
      <c r="AM7" s="29">
        <f>IF($AC$6=$AH$7,AH7,0)</f>
        <v>0</v>
      </c>
      <c r="AN7" s="30" t="s">
        <v>40</v>
      </c>
      <c r="AO7" s="31">
        <f>IF($AC$6=$AJ$7,AJ7,0)</f>
        <v>0</v>
      </c>
      <c r="AP7" s="12"/>
      <c r="AQ7" s="12"/>
      <c r="AR7" s="12"/>
      <c r="AS7" s="28" t="s">
        <v>35</v>
      </c>
      <c r="AT7" s="29">
        <f t="shared" si="1"/>
        <v>0</v>
      </c>
      <c r="AU7" s="30" t="s">
        <v>40</v>
      </c>
      <c r="AV7" s="31">
        <f>IF(AO7=0,0,1)</f>
        <v>0</v>
      </c>
      <c r="AW7" s="12"/>
      <c r="AX7" s="28" t="s">
        <v>35</v>
      </c>
      <c r="AY7" s="29">
        <f t="shared" si="2"/>
        <v>0</v>
      </c>
      <c r="AZ7" s="30" t="s">
        <v>40</v>
      </c>
      <c r="BA7" s="31">
        <f>IF(AV7=1,AJ7,0)</f>
        <v>0</v>
      </c>
      <c r="BC7" s="12"/>
      <c r="BD7" s="56"/>
      <c r="BE7" s="12"/>
      <c r="BF7" s="1137"/>
      <c r="BG7" s="1138"/>
      <c r="BH7" s="50"/>
      <c r="BI7" s="12"/>
      <c r="BJ7" s="28" t="s">
        <v>35</v>
      </c>
      <c r="BK7" s="29">
        <f>U7+U8+U9+U10+U11+W6+W7+W8+W9</f>
        <v>14400</v>
      </c>
      <c r="BL7" s="30" t="s">
        <v>40</v>
      </c>
      <c r="BM7" s="31">
        <f>SUM(W7:W9)</f>
        <v>4800</v>
      </c>
      <c r="BN7" s="12"/>
      <c r="BO7" s="28" t="s">
        <v>35</v>
      </c>
      <c r="BP7" s="29">
        <f>IF($BF$6=$BK$7,BK7,0)</f>
        <v>0</v>
      </c>
      <c r="BQ7" s="30" t="s">
        <v>40</v>
      </c>
      <c r="BR7" s="31">
        <f>IF($BF$6=$BM$7,BM7,0)</f>
        <v>0</v>
      </c>
      <c r="BS7" s="12"/>
      <c r="BT7" s="12"/>
      <c r="BU7" s="12"/>
      <c r="BV7" s="28" t="s">
        <v>35</v>
      </c>
      <c r="BW7" s="29">
        <f t="shared" si="3"/>
        <v>0</v>
      </c>
      <c r="BX7" s="30" t="s">
        <v>40</v>
      </c>
      <c r="BY7" s="31">
        <f>IF(BR7=0,0,1)</f>
        <v>0</v>
      </c>
      <c r="BZ7" s="12"/>
      <c r="CA7" s="28" t="s">
        <v>35</v>
      </c>
      <c r="CB7" s="29">
        <f t="shared" si="4"/>
        <v>0</v>
      </c>
      <c r="CC7" s="30" t="s">
        <v>40</v>
      </c>
      <c r="CD7" s="31">
        <f>IF(BY7=1,BM7,0)</f>
        <v>0</v>
      </c>
      <c r="CE7" s="13"/>
    </row>
    <row r="8" spans="1:83" ht="30" customHeight="1" thickBot="1">
      <c r="A8" s="1252"/>
      <c r="B8" s="1244"/>
      <c r="C8" s="1241"/>
      <c r="D8" s="209"/>
      <c r="E8" s="1245" t="s">
        <v>70</v>
      </c>
      <c r="F8" s="1229">
        <f>'医療分・支援・介護分（印刷））'!L265</f>
        <v>0</v>
      </c>
      <c r="G8" s="1231" t="s">
        <v>6</v>
      </c>
      <c r="H8" s="82" t="s">
        <v>36</v>
      </c>
      <c r="I8" s="29">
        <f>IF($AA$1&gt;0,0,'医療分・支援・介護分（印刷））'!X7)</f>
        <v>1193</v>
      </c>
      <c r="J8" s="30" t="s">
        <v>41</v>
      </c>
      <c r="K8" s="31">
        <f>IF($AA$1&gt;0,0,'医療分・支援・介護分（印刷））'!Z7)</f>
        <v>1192</v>
      </c>
      <c r="L8" s="28" t="s">
        <v>36</v>
      </c>
      <c r="M8" s="29">
        <f>IF($AA$1&gt;0,0,'医療分・支援・介護分（印刷））'!X96)</f>
        <v>407</v>
      </c>
      <c r="N8" s="30" t="s">
        <v>41</v>
      </c>
      <c r="O8" s="31">
        <f>IF($AA$1&gt;0,0,'医療分・支援・介護分（印刷））'!Z96)</f>
        <v>408</v>
      </c>
      <c r="P8" s="28" t="s">
        <v>36</v>
      </c>
      <c r="Q8" s="29">
        <f>IF($AA$1&gt;0,0,'医療分・支援・介護分（印刷））'!X185)</f>
        <v>0</v>
      </c>
      <c r="R8" s="30" t="s">
        <v>41</v>
      </c>
      <c r="S8" s="31">
        <f>IF($AA$1&gt;0,0,'医療分・支援・介護分（印刷））'!Z185)</f>
        <v>0</v>
      </c>
      <c r="T8" s="28" t="s">
        <v>36</v>
      </c>
      <c r="U8" s="29">
        <f t="shared" si="0"/>
        <v>1600</v>
      </c>
      <c r="V8" s="30" t="s">
        <v>41</v>
      </c>
      <c r="W8" s="31">
        <f>K8+O8+S8</f>
        <v>1600</v>
      </c>
      <c r="AA8" s="1162"/>
      <c r="AB8" s="12"/>
      <c r="AC8" s="1137"/>
      <c r="AD8" s="1138"/>
      <c r="AE8" s="50"/>
      <c r="AF8" s="12"/>
      <c r="AG8" s="28" t="s">
        <v>36</v>
      </c>
      <c r="AH8" s="29">
        <f>SUM(U6:U8)</f>
        <v>4900</v>
      </c>
      <c r="AI8" s="30" t="s">
        <v>41</v>
      </c>
      <c r="AJ8" s="31">
        <f>U6+U7+U8+U9+U10+U11+W6+W7+W8</f>
        <v>14500</v>
      </c>
      <c r="AK8" s="12"/>
      <c r="AL8" s="28" t="s">
        <v>36</v>
      </c>
      <c r="AM8" s="29">
        <f>IF($AC$6=$AH$8,AH8,0)</f>
        <v>0</v>
      </c>
      <c r="AN8" s="30" t="s">
        <v>41</v>
      </c>
      <c r="AO8" s="31">
        <f>IF($AC$6=$AJ$8,AJ8,0)</f>
        <v>0</v>
      </c>
      <c r="AP8" s="1159"/>
      <c r="AQ8" s="12"/>
      <c r="AR8" s="12"/>
      <c r="AS8" s="28" t="s">
        <v>36</v>
      </c>
      <c r="AT8" s="29">
        <f t="shared" si="1"/>
        <v>0</v>
      </c>
      <c r="AU8" s="30" t="s">
        <v>41</v>
      </c>
      <c r="AV8" s="31">
        <f>IF(AO8=0,0,1)</f>
        <v>0</v>
      </c>
      <c r="AW8" s="12"/>
      <c r="AX8" s="28" t="s">
        <v>36</v>
      </c>
      <c r="AY8" s="29">
        <f t="shared" si="2"/>
        <v>0</v>
      </c>
      <c r="AZ8" s="30" t="s">
        <v>41</v>
      </c>
      <c r="BA8" s="31">
        <f>IF(AV8=1,AJ8,0)</f>
        <v>0</v>
      </c>
      <c r="BC8" s="12"/>
      <c r="BD8" s="56"/>
      <c r="BE8" s="12"/>
      <c r="BF8" s="1137"/>
      <c r="BG8" s="1138"/>
      <c r="BH8" s="50"/>
      <c r="BI8" s="12"/>
      <c r="BJ8" s="28" t="s">
        <v>36</v>
      </c>
      <c r="BK8" s="29">
        <f>U8+U9+U10+U11+W6+W7+W8+W9</f>
        <v>12800</v>
      </c>
      <c r="BL8" s="30" t="s">
        <v>41</v>
      </c>
      <c r="BM8" s="31">
        <f>SUM(W8:W9)</f>
        <v>3200</v>
      </c>
      <c r="BN8" s="12"/>
      <c r="BO8" s="28" t="s">
        <v>36</v>
      </c>
      <c r="BP8" s="29">
        <f>IF($BF$6=$BK$8,BK8,0)</f>
        <v>0</v>
      </c>
      <c r="BQ8" s="30" t="s">
        <v>41</v>
      </c>
      <c r="BR8" s="31">
        <f>IF($BF$6=$BM$8,BM8,0)</f>
        <v>0</v>
      </c>
      <c r="BS8" s="1155"/>
      <c r="BT8" s="12"/>
      <c r="BU8" s="12"/>
      <c r="BV8" s="28" t="s">
        <v>36</v>
      </c>
      <c r="BW8" s="29">
        <f t="shared" si="3"/>
        <v>0</v>
      </c>
      <c r="BX8" s="30" t="s">
        <v>41</v>
      </c>
      <c r="BY8" s="31">
        <f>IF(BR8=0,0,1)</f>
        <v>0</v>
      </c>
      <c r="BZ8" s="12"/>
      <c r="CA8" s="28" t="s">
        <v>36</v>
      </c>
      <c r="CB8" s="29">
        <f t="shared" si="4"/>
        <v>0</v>
      </c>
      <c r="CC8" s="30" t="s">
        <v>41</v>
      </c>
      <c r="CD8" s="31">
        <f>IF(BY8=1,BM8,0)</f>
        <v>0</v>
      </c>
      <c r="CE8" s="13"/>
    </row>
    <row r="9" spans="1:83" ht="30" customHeight="1" thickTop="1">
      <c r="A9" s="1246" t="s">
        <v>164</v>
      </c>
      <c r="B9" s="1242">
        <f>AZ10+CC10</f>
        <v>0</v>
      </c>
      <c r="C9" s="1239" t="s">
        <v>6</v>
      </c>
      <c r="E9" s="1245"/>
      <c r="F9" s="1230"/>
      <c r="G9" s="1231"/>
      <c r="H9" s="82" t="s">
        <v>43</v>
      </c>
      <c r="I9" s="29">
        <f>IF($AA$1&gt;0,0,'医療分・支援・介護分（印刷））'!X8)</f>
        <v>1193</v>
      </c>
      <c r="J9" s="30" t="s">
        <v>42</v>
      </c>
      <c r="K9" s="31">
        <f>IF($AA$1&gt;0,0,'医療分・支援・介護分（印刷））'!Z8)</f>
        <v>1192</v>
      </c>
      <c r="L9" s="28" t="s">
        <v>43</v>
      </c>
      <c r="M9" s="29">
        <f>IF($AA$1&gt;0,0,'医療分・支援・介護分（印刷））'!X97)</f>
        <v>407</v>
      </c>
      <c r="N9" s="30" t="s">
        <v>42</v>
      </c>
      <c r="O9" s="31">
        <f>IF($AA$1&gt;0,0,'医療分・支援・介護分（印刷））'!Z97)</f>
        <v>408</v>
      </c>
      <c r="P9" s="28" t="s">
        <v>43</v>
      </c>
      <c r="Q9" s="29">
        <f>IF($AA$1&gt;0,0,'医療分・支援・介護分（印刷））'!X186)</f>
        <v>0</v>
      </c>
      <c r="R9" s="30" t="s">
        <v>42</v>
      </c>
      <c r="S9" s="31">
        <f>IF($AA$1&gt;0,0,'医療分・支援・介護分（印刷））'!Z186)</f>
        <v>0</v>
      </c>
      <c r="T9" s="28" t="s">
        <v>43</v>
      </c>
      <c r="U9" s="29">
        <f t="shared" si="0"/>
        <v>1600</v>
      </c>
      <c r="V9" s="133" t="s">
        <v>42</v>
      </c>
      <c r="W9" s="31">
        <f>K9+O9+S9</f>
        <v>1600</v>
      </c>
      <c r="AA9" s="259"/>
      <c r="AB9" s="12"/>
      <c r="AC9" s="1145"/>
      <c r="AD9" s="1145"/>
      <c r="AE9" s="1145"/>
      <c r="AF9" s="12"/>
      <c r="AG9" s="28" t="s">
        <v>43</v>
      </c>
      <c r="AH9" s="29">
        <f>SUM(U6:U9)</f>
        <v>6500</v>
      </c>
      <c r="AI9" s="133" t="s">
        <v>93</v>
      </c>
      <c r="AJ9" s="144">
        <f>U6+U7+U8+U9+U10+U11+W6+W7+W8+W9</f>
        <v>16100</v>
      </c>
      <c r="AK9" s="12"/>
      <c r="AL9" s="28" t="s">
        <v>43</v>
      </c>
      <c r="AM9" s="29">
        <f>IF($AC$6=$AH$9,AH9,0)</f>
        <v>0</v>
      </c>
      <c r="AN9" s="133" t="s">
        <v>93</v>
      </c>
      <c r="AO9" s="31">
        <f>IF($AC$6=$AJ$9,AJ9,0)</f>
        <v>0</v>
      </c>
      <c r="AP9" s="1160"/>
      <c r="AQ9" s="12"/>
      <c r="AR9" s="12"/>
      <c r="AS9" s="28" t="s">
        <v>43</v>
      </c>
      <c r="AT9" s="29">
        <f t="shared" si="1"/>
        <v>0</v>
      </c>
      <c r="AU9" s="133" t="s">
        <v>93</v>
      </c>
      <c r="AV9" s="31">
        <f>IF(AO9=0,0,1)</f>
        <v>0</v>
      </c>
      <c r="AW9" s="12"/>
      <c r="AX9" s="28" t="s">
        <v>43</v>
      </c>
      <c r="AY9" s="29">
        <f t="shared" si="2"/>
        <v>0</v>
      </c>
      <c r="AZ9" s="133" t="s">
        <v>93</v>
      </c>
      <c r="BA9" s="31">
        <f>IF(AV9=1,AJ9,0)</f>
        <v>0</v>
      </c>
      <c r="BC9" s="12"/>
      <c r="BD9" s="56"/>
      <c r="BE9" s="12"/>
      <c r="BF9" s="1145"/>
      <c r="BG9" s="1145"/>
      <c r="BH9" s="1145"/>
      <c r="BI9" s="12"/>
      <c r="BJ9" s="28" t="s">
        <v>43</v>
      </c>
      <c r="BK9" s="29">
        <f>U9+U10+U11+W6+W7+W8+W9</f>
        <v>11200</v>
      </c>
      <c r="BL9" s="30" t="s">
        <v>42</v>
      </c>
      <c r="BM9" s="144">
        <f>W9</f>
        <v>1600</v>
      </c>
      <c r="BN9" s="12"/>
      <c r="BO9" s="28" t="s">
        <v>43</v>
      </c>
      <c r="BP9" s="29">
        <f>IF($BF$6=$BK$9,BK9,0)</f>
        <v>0</v>
      </c>
      <c r="BQ9" s="133" t="s">
        <v>93</v>
      </c>
      <c r="BR9" s="31">
        <f>IF($BF$6=$BM$9,BM9,0)</f>
        <v>0</v>
      </c>
      <c r="BS9" s="1156"/>
      <c r="BT9" s="12"/>
      <c r="BU9" s="12"/>
      <c r="BV9" s="28" t="s">
        <v>43</v>
      </c>
      <c r="BW9" s="29">
        <f t="shared" si="3"/>
        <v>0</v>
      </c>
      <c r="BX9" s="133" t="s">
        <v>93</v>
      </c>
      <c r="BY9" s="31">
        <f>IF(BR9=0,0,1)</f>
        <v>0</v>
      </c>
      <c r="BZ9" s="12"/>
      <c r="CA9" s="28" t="s">
        <v>43</v>
      </c>
      <c r="CB9" s="29">
        <f t="shared" si="4"/>
        <v>0</v>
      </c>
      <c r="CC9" s="133" t="s">
        <v>93</v>
      </c>
      <c r="CD9" s="31">
        <f>IF(BY9=1,BM9,0)</f>
        <v>0</v>
      </c>
      <c r="CE9" s="13"/>
    </row>
    <row r="10" spans="1:83" ht="30" customHeight="1">
      <c r="A10" s="1247"/>
      <c r="B10" s="1243"/>
      <c r="C10" s="1240"/>
      <c r="E10" s="1169" t="s">
        <v>75</v>
      </c>
      <c r="F10" s="1264">
        <f>F4+F6+F8</f>
        <v>16100</v>
      </c>
      <c r="G10" s="1262" t="s">
        <v>6</v>
      </c>
      <c r="H10" s="82" t="s">
        <v>37</v>
      </c>
      <c r="I10" s="29">
        <f>IF($AA$1&gt;0,0,'医療分・支援・介護分（印刷））'!X9)</f>
        <v>1193</v>
      </c>
      <c r="J10" s="1139" t="s">
        <v>44</v>
      </c>
      <c r="K10" s="1253">
        <f>IF(AA1&gt;0,0,'医療分・支援・介護分（印刷））'!Z9)</f>
        <v>12000</v>
      </c>
      <c r="L10" s="28" t="s">
        <v>37</v>
      </c>
      <c r="M10" s="29">
        <f>IF($AA$1&gt;0,0,'医療分・支援・介護分（印刷））'!X98)</f>
        <v>407</v>
      </c>
      <c r="N10" s="1139" t="s">
        <v>44</v>
      </c>
      <c r="O10" s="1253">
        <f>IF($AA$1&gt;0,0,'医療分・支援・介護分（印刷））'!Z98)</f>
        <v>4100</v>
      </c>
      <c r="P10" s="28" t="s">
        <v>37</v>
      </c>
      <c r="Q10" s="29">
        <f>IF($AA$1&gt;0,0,'医療分・支援・介護分（印刷））'!X187)</f>
        <v>0</v>
      </c>
      <c r="R10" s="1139" t="s">
        <v>44</v>
      </c>
      <c r="S10" s="1253">
        <f>IF(AA1&gt;0,0,'医療分・支援・介護分（印刷））'!Z187)</f>
        <v>0</v>
      </c>
      <c r="T10" s="28" t="s">
        <v>37</v>
      </c>
      <c r="U10" s="29">
        <f t="shared" si="0"/>
        <v>1600</v>
      </c>
      <c r="V10" s="1139" t="s">
        <v>44</v>
      </c>
      <c r="W10" s="1141">
        <f>K10+O10+S10</f>
        <v>16100</v>
      </c>
      <c r="AA10" s="56"/>
      <c r="AB10" s="12"/>
      <c r="AC10" s="1137"/>
      <c r="AD10" s="1138"/>
      <c r="AE10" s="50"/>
      <c r="AF10" s="12"/>
      <c r="AG10" s="28" t="s">
        <v>37</v>
      </c>
      <c r="AH10" s="81">
        <f>SUM(U6:U10)</f>
        <v>8100</v>
      </c>
      <c r="AI10" s="1139"/>
      <c r="AJ10" s="1141"/>
      <c r="AK10" s="12"/>
      <c r="AL10" s="28" t="s">
        <v>37</v>
      </c>
      <c r="AM10" s="29">
        <f>IF($AC$6=$AH$10,AH10,0)</f>
        <v>0</v>
      </c>
      <c r="AN10" s="1133">
        <f>AM6+AM7+AM8+AM9+AM10+AM11+AO6+AO7+AO8+AO9</f>
        <v>0</v>
      </c>
      <c r="AO10" s="1134"/>
      <c r="AP10" s="1143">
        <f>IF(AH6=0,"－",IF(AN10&lt;AC6,"エラー",0))</f>
        <v>0</v>
      </c>
      <c r="AQ10" s="1143">
        <f>IF(AP10="エラー",1,0)</f>
        <v>0</v>
      </c>
      <c r="AR10" s="12"/>
      <c r="AS10" s="28" t="s">
        <v>37</v>
      </c>
      <c r="AT10" s="29">
        <f t="shared" si="1"/>
        <v>0</v>
      </c>
      <c r="AU10" s="1133"/>
      <c r="AV10" s="1134"/>
      <c r="AW10" s="12"/>
      <c r="AX10" s="28" t="s">
        <v>37</v>
      </c>
      <c r="AY10" s="29">
        <f t="shared" si="2"/>
        <v>0</v>
      </c>
      <c r="AZ10" s="1133">
        <f>AY6+AY7+AY8+AY9+AY10+AY11+BA6+BA7+BA8+BA9</f>
        <v>0</v>
      </c>
      <c r="BA10" s="1134"/>
      <c r="BC10" s="12"/>
      <c r="BD10" s="56"/>
      <c r="BE10" s="12"/>
      <c r="BF10" s="1137"/>
      <c r="BG10" s="1138"/>
      <c r="BH10" s="50"/>
      <c r="BI10" s="12"/>
      <c r="BJ10" s="28" t="s">
        <v>37</v>
      </c>
      <c r="BK10" s="81">
        <f>U10+U11+W6+W7+W8+W9</f>
        <v>9600</v>
      </c>
      <c r="BL10" s="1139"/>
      <c r="BM10" s="1141"/>
      <c r="BN10" s="12"/>
      <c r="BO10" s="28" t="s">
        <v>37</v>
      </c>
      <c r="BP10" s="29">
        <f>IF($BF$6=$BK$10,BK10,0)</f>
        <v>0</v>
      </c>
      <c r="BQ10" s="1133">
        <f>BP6+BP7+BP8+BP9+BP10+BP11+BR6+BR7+BR8+BR9</f>
        <v>0</v>
      </c>
      <c r="BR10" s="1134"/>
      <c r="BS10" s="1151">
        <f>IF(BK6=0,"－",IF(BQ10&lt;BF6,"エラー",0))</f>
        <v>0</v>
      </c>
      <c r="BT10" s="1143">
        <f>IF(BS10="エラー",1,0)</f>
        <v>0</v>
      </c>
      <c r="BU10" s="12"/>
      <c r="BV10" s="28" t="s">
        <v>37</v>
      </c>
      <c r="BW10" s="29">
        <f t="shared" si="3"/>
        <v>0</v>
      </c>
      <c r="BX10" s="1133"/>
      <c r="BY10" s="1134"/>
      <c r="BZ10" s="12"/>
      <c r="CA10" s="28" t="s">
        <v>37</v>
      </c>
      <c r="CB10" s="29">
        <f t="shared" si="4"/>
        <v>0</v>
      </c>
      <c r="CC10" s="1133">
        <f>CB6+CB7+CB8+CB9+CB10+CB11+CD6+CD7+CD8+CD9</f>
        <v>0</v>
      </c>
      <c r="CD10" s="1134"/>
      <c r="CE10" s="13"/>
    </row>
    <row r="11" spans="1:83" ht="30" customHeight="1" thickBot="1">
      <c r="A11" s="1248"/>
      <c r="B11" s="1244"/>
      <c r="C11" s="1241"/>
      <c r="E11" s="1170"/>
      <c r="F11" s="1265"/>
      <c r="G11" s="1263"/>
      <c r="H11" s="128" t="s">
        <v>38</v>
      </c>
      <c r="I11" s="66">
        <f>IF($AA$1&gt;0,0,'医療分・支援・介護分（印刷））'!X10)</f>
        <v>1193</v>
      </c>
      <c r="J11" s="1140"/>
      <c r="K11" s="1254"/>
      <c r="L11" s="65" t="s">
        <v>38</v>
      </c>
      <c r="M11" s="66">
        <f>IF($AA$1&gt;0,0,'医療分・支援・介護分（印刷））'!X99)</f>
        <v>407</v>
      </c>
      <c r="N11" s="1140"/>
      <c r="O11" s="1254"/>
      <c r="P11" s="65" t="s">
        <v>38</v>
      </c>
      <c r="Q11" s="66">
        <f>IF($AA$1&gt;0,0,'医療分・支援・介護分（印刷））'!X188)</f>
        <v>0</v>
      </c>
      <c r="R11" s="1140"/>
      <c r="S11" s="1254"/>
      <c r="T11" s="65" t="s">
        <v>38</v>
      </c>
      <c r="U11" s="66">
        <f t="shared" si="0"/>
        <v>1600</v>
      </c>
      <c r="V11" s="1140"/>
      <c r="W11" s="1142"/>
      <c r="Y11" s="273" t="str">
        <f>IF(F14+F22+F30+F38+F46+F54+F62=F10,"ＯＫ","ｱﾝﾏｯﾁ")</f>
        <v>ＯＫ</v>
      </c>
      <c r="AA11" s="56"/>
      <c r="AB11" s="12"/>
      <c r="AC11" s="12"/>
      <c r="AD11" s="12"/>
      <c r="AE11" s="12"/>
      <c r="AF11" s="12"/>
      <c r="AG11" s="65" t="s">
        <v>38</v>
      </c>
      <c r="AH11" s="132">
        <f>SUM(U6:U11)</f>
        <v>9700</v>
      </c>
      <c r="AI11" s="1140"/>
      <c r="AJ11" s="1142"/>
      <c r="AK11" s="12"/>
      <c r="AL11" s="65" t="s">
        <v>38</v>
      </c>
      <c r="AM11" s="66">
        <f>IF($AC$6=$AH$11,AH11,0)</f>
        <v>0</v>
      </c>
      <c r="AN11" s="1135"/>
      <c r="AO11" s="1136"/>
      <c r="AP11" s="1144"/>
      <c r="AQ11" s="1144"/>
      <c r="AR11" s="12"/>
      <c r="AS11" s="65" t="s">
        <v>38</v>
      </c>
      <c r="AT11" s="66">
        <f t="shared" si="1"/>
        <v>0</v>
      </c>
      <c r="AU11" s="1135"/>
      <c r="AV11" s="1136"/>
      <c r="AW11" s="12"/>
      <c r="AX11" s="65" t="s">
        <v>38</v>
      </c>
      <c r="AY11" s="66">
        <f t="shared" si="2"/>
        <v>0</v>
      </c>
      <c r="AZ11" s="1135"/>
      <c r="BA11" s="1136"/>
      <c r="BC11" s="12"/>
      <c r="BD11" s="56"/>
      <c r="BE11" s="12"/>
      <c r="BF11" s="12"/>
      <c r="BG11" s="12"/>
      <c r="BH11" s="12"/>
      <c r="BI11" s="12"/>
      <c r="BJ11" s="65" t="s">
        <v>38</v>
      </c>
      <c r="BK11" s="132">
        <f>U11+W6+W7+W8+W9</f>
        <v>8000</v>
      </c>
      <c r="BL11" s="1140"/>
      <c r="BM11" s="1142"/>
      <c r="BN11" s="12"/>
      <c r="BO11" s="65" t="s">
        <v>38</v>
      </c>
      <c r="BP11" s="66">
        <f>IF($BF$6=$BK$11,BK11,0)</f>
        <v>0</v>
      </c>
      <c r="BQ11" s="1135"/>
      <c r="BR11" s="1136"/>
      <c r="BS11" s="1152"/>
      <c r="BT11" s="1144"/>
      <c r="BU11" s="12"/>
      <c r="BV11" s="65" t="s">
        <v>38</v>
      </c>
      <c r="BW11" s="66">
        <f t="shared" si="3"/>
        <v>0</v>
      </c>
      <c r="BX11" s="1135"/>
      <c r="BY11" s="1136"/>
      <c r="BZ11" s="12"/>
      <c r="CA11" s="65" t="s">
        <v>38</v>
      </c>
      <c r="CB11" s="66">
        <f t="shared" si="4"/>
        <v>0</v>
      </c>
      <c r="CC11" s="1135"/>
      <c r="CD11" s="1136"/>
      <c r="CE11" s="13"/>
    </row>
    <row r="12" spans="1:83" ht="15.75" thickTop="1">
      <c r="E12" s="1260" t="s">
        <v>74</v>
      </c>
      <c r="F12" s="1260"/>
      <c r="G12" s="1260"/>
      <c r="H12" s="1261"/>
      <c r="I12" s="1261"/>
      <c r="J12" s="1261"/>
      <c r="K12" s="1261"/>
      <c r="L12" s="1261"/>
      <c r="M12" s="1261"/>
      <c r="N12" s="1261"/>
      <c r="O12" s="1261"/>
      <c r="P12" s="1261"/>
      <c r="Q12" s="1261"/>
      <c r="R12" s="1261"/>
      <c r="S12" s="1261"/>
      <c r="T12" s="1261"/>
      <c r="U12" s="1261"/>
      <c r="V12" s="1260"/>
      <c r="W12" s="1260"/>
      <c r="AA12" s="56"/>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C12" s="12"/>
      <c r="BD12" s="56"/>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3"/>
    </row>
    <row r="13" spans="1:83" ht="28.5" customHeight="1">
      <c r="A13" s="1197" t="s">
        <v>151</v>
      </c>
      <c r="B13" s="1194" t="s">
        <v>77</v>
      </c>
      <c r="C13" s="1194"/>
      <c r="D13" s="1194"/>
      <c r="E13" s="1216" t="s">
        <v>82</v>
      </c>
      <c r="F13" s="1217"/>
      <c r="G13" s="1218"/>
      <c r="H13" s="1163" t="s">
        <v>69</v>
      </c>
      <c r="I13" s="1164"/>
      <c r="J13" s="1164"/>
      <c r="K13" s="1165"/>
      <c r="L13" s="1163" t="s">
        <v>159</v>
      </c>
      <c r="M13" s="1164"/>
      <c r="N13" s="1164"/>
      <c r="O13" s="1165"/>
      <c r="P13" s="1163" t="s">
        <v>70</v>
      </c>
      <c r="Q13" s="1164"/>
      <c r="R13" s="1164"/>
      <c r="S13" s="1165"/>
      <c r="T13" s="1163" t="s">
        <v>76</v>
      </c>
      <c r="U13" s="1164"/>
      <c r="V13" s="1164"/>
      <c r="W13" s="1165"/>
      <c r="AA13" s="56"/>
      <c r="AB13" s="12"/>
      <c r="AC13" s="12"/>
      <c r="AD13" s="12"/>
      <c r="AE13" s="12"/>
      <c r="AF13" s="12"/>
      <c r="AG13" s="1146" t="s">
        <v>94</v>
      </c>
      <c r="AH13" s="1147"/>
      <c r="AI13" s="1147"/>
      <c r="AJ13" s="1148"/>
      <c r="AK13" s="12"/>
      <c r="AL13" s="1146" t="s">
        <v>95</v>
      </c>
      <c r="AM13" s="1147"/>
      <c r="AN13" s="1147"/>
      <c r="AO13" s="1148"/>
      <c r="AP13" s="12"/>
      <c r="AQ13" s="12"/>
      <c r="AR13" s="12"/>
      <c r="AS13" s="1146" t="s">
        <v>98</v>
      </c>
      <c r="AT13" s="1147"/>
      <c r="AU13" s="1147"/>
      <c r="AV13" s="1148"/>
      <c r="AW13" s="12"/>
      <c r="AX13" s="1146" t="s">
        <v>98</v>
      </c>
      <c r="AY13" s="1147"/>
      <c r="AZ13" s="1147"/>
      <c r="BA13" s="1148"/>
      <c r="BC13" s="12"/>
      <c r="BD13" s="56"/>
      <c r="BE13" s="12"/>
      <c r="BF13" s="12"/>
      <c r="BG13" s="12"/>
      <c r="BH13" s="12"/>
      <c r="BI13" s="12"/>
      <c r="BJ13" s="1146" t="s">
        <v>101</v>
      </c>
      <c r="BK13" s="1147"/>
      <c r="BL13" s="1147"/>
      <c r="BM13" s="1148"/>
      <c r="BN13" s="12"/>
      <c r="BO13" s="1146" t="s">
        <v>95</v>
      </c>
      <c r="BP13" s="1147"/>
      <c r="BQ13" s="1147"/>
      <c r="BR13" s="1148"/>
      <c r="BS13" s="12"/>
      <c r="BT13" s="12"/>
      <c r="BU13" s="12"/>
      <c r="BV13" s="1146" t="s">
        <v>98</v>
      </c>
      <c r="BW13" s="1147"/>
      <c r="BX13" s="1147"/>
      <c r="BY13" s="1148"/>
      <c r="BZ13" s="12"/>
      <c r="CA13" s="1146" t="s">
        <v>98</v>
      </c>
      <c r="CB13" s="1147"/>
      <c r="CC13" s="1147"/>
      <c r="CD13" s="1148"/>
      <c r="CE13" s="13"/>
    </row>
    <row r="14" spans="1:83" ht="23.25" customHeight="1">
      <c r="A14" s="1198"/>
      <c r="B14" s="1256">
        <f>入力画面!C12</f>
        <v>11</v>
      </c>
      <c r="C14" s="1257"/>
      <c r="D14" s="1195" t="str">
        <f>IF(F14&gt;0,"様",0)</f>
        <v>様</v>
      </c>
      <c r="E14" s="1207" t="s">
        <v>75</v>
      </c>
      <c r="F14" s="1209">
        <f>IF(AA1&gt;0,0,'医療分・支援・介護分（印刷））'!U20+'医療分・支援・介護分（印刷））'!U109+'医療分・支援・介護分（印刷））'!U198)</f>
        <v>16100</v>
      </c>
      <c r="G14" s="1211" t="s">
        <v>6</v>
      </c>
      <c r="H14" s="28" t="s">
        <v>34</v>
      </c>
      <c r="I14" s="29">
        <f>IF($AA$1&gt;0,0,'医療分・支援・介護分（印刷））'!X16)</f>
        <v>1267</v>
      </c>
      <c r="J14" s="30" t="s">
        <v>39</v>
      </c>
      <c r="K14" s="29">
        <f>IF($AA$1&gt;0,0,'医療分・支援・介護分（印刷））'!Z16)</f>
        <v>1192</v>
      </c>
      <c r="L14" s="28" t="s">
        <v>34</v>
      </c>
      <c r="M14" s="29">
        <f>IF($AA$1&gt;0,0,'医療分・支援・介護分（印刷））'!X105)</f>
        <v>433</v>
      </c>
      <c r="N14" s="30" t="s">
        <v>39</v>
      </c>
      <c r="O14" s="29">
        <f>IF($AA$1&gt;0,0,'医療分・支援・介護分（印刷））'!Z105)</f>
        <v>408</v>
      </c>
      <c r="P14" s="28" t="s">
        <v>34</v>
      </c>
      <c r="Q14" s="29">
        <f>IF($AA$1&gt;0,0,'医療分・支援・介護分（印刷））'!X194)</f>
        <v>0</v>
      </c>
      <c r="R14" s="30" t="s">
        <v>39</v>
      </c>
      <c r="S14" s="31">
        <f>IF($AA$1&gt;0,0,'医療分・支援・介護分（印刷））'!Z194)</f>
        <v>0</v>
      </c>
      <c r="T14" s="260" t="s">
        <v>34</v>
      </c>
      <c r="U14" s="261">
        <f t="shared" ref="U14:U19" si="5">I14+M14+Q14</f>
        <v>1700</v>
      </c>
      <c r="V14" s="262" t="s">
        <v>39</v>
      </c>
      <c r="W14" s="263">
        <f>K14+O14+S14</f>
        <v>1600</v>
      </c>
      <c r="AA14" s="56"/>
      <c r="AB14" s="50"/>
      <c r="AC14" s="1149"/>
      <c r="AD14" s="1150"/>
      <c r="AE14" s="50"/>
      <c r="AF14" s="12"/>
      <c r="AG14" s="28" t="s">
        <v>34</v>
      </c>
      <c r="AH14" s="29">
        <f>U14</f>
        <v>1700</v>
      </c>
      <c r="AI14" s="30" t="s">
        <v>39</v>
      </c>
      <c r="AJ14" s="31">
        <f>U14+U15+U16+U17+U18+U19+W14</f>
        <v>11300</v>
      </c>
      <c r="AK14" s="12"/>
      <c r="AL14" s="28" t="s">
        <v>34</v>
      </c>
      <c r="AM14" s="29">
        <f>IF($AC$6=$AH$6,AH14,0)</f>
        <v>0</v>
      </c>
      <c r="AN14" s="30" t="s">
        <v>39</v>
      </c>
      <c r="AO14" s="31">
        <f>IF($AC$6=$AJ$6,AJ14,0)</f>
        <v>0</v>
      </c>
      <c r="AP14" s="12"/>
      <c r="AQ14" s="12"/>
      <c r="AR14" s="12"/>
      <c r="AS14" s="28" t="s">
        <v>34</v>
      </c>
      <c r="AT14" s="29">
        <f t="shared" ref="AT14:AT19" si="6">AT6</f>
        <v>0</v>
      </c>
      <c r="AU14" s="30" t="s">
        <v>39</v>
      </c>
      <c r="AV14" s="31">
        <f>AV6</f>
        <v>0</v>
      </c>
      <c r="AW14" s="12"/>
      <c r="AX14" s="28" t="s">
        <v>34</v>
      </c>
      <c r="AY14" s="29">
        <f t="shared" ref="AY14:AY19" si="7">IF(AT14=1,AH14,0)</f>
        <v>0</v>
      </c>
      <c r="AZ14" s="30" t="s">
        <v>39</v>
      </c>
      <c r="BA14" s="31">
        <f>IF(AV14=1,AJ14,0)</f>
        <v>0</v>
      </c>
      <c r="BC14" s="12"/>
      <c r="BD14" s="56"/>
      <c r="BE14" s="50"/>
      <c r="BF14" s="1149"/>
      <c r="BG14" s="1150"/>
      <c r="BH14" s="50"/>
      <c r="BI14" s="12"/>
      <c r="BJ14" s="28" t="s">
        <v>34</v>
      </c>
      <c r="BK14" s="29">
        <f>U14+U15+U16+U17+U18+U19+W14+W15+W16+W17</f>
        <v>16100</v>
      </c>
      <c r="BL14" s="30" t="s">
        <v>39</v>
      </c>
      <c r="BM14" s="31">
        <f>SUM(W14:W17)</f>
        <v>6400</v>
      </c>
      <c r="BN14" s="12"/>
      <c r="BO14" s="28" t="s">
        <v>34</v>
      </c>
      <c r="BP14" s="29">
        <f>IF($BF$6=$BK$6,BK14,0)</f>
        <v>0</v>
      </c>
      <c r="BQ14" s="30" t="s">
        <v>39</v>
      </c>
      <c r="BR14" s="31">
        <f>IF($BF$6=$BM$6,BM14,0)</f>
        <v>0</v>
      </c>
      <c r="BS14" s="12"/>
      <c r="BT14" s="12"/>
      <c r="BU14" s="12"/>
      <c r="BV14" s="28" t="s">
        <v>34</v>
      </c>
      <c r="BW14" s="29">
        <f t="shared" ref="BW14:BW19" si="8">BW6</f>
        <v>0</v>
      </c>
      <c r="BX14" s="30" t="s">
        <v>39</v>
      </c>
      <c r="BY14" s="31">
        <f>BY6</f>
        <v>0</v>
      </c>
      <c r="BZ14" s="12"/>
      <c r="CA14" s="28" t="s">
        <v>34</v>
      </c>
      <c r="CB14" s="29">
        <f t="shared" ref="CB14:CB19" si="9">IF(BW14=1,BK14,0)</f>
        <v>0</v>
      </c>
      <c r="CC14" s="30" t="s">
        <v>39</v>
      </c>
      <c r="CD14" s="31">
        <f>IF(BY14=1,BM14,0)</f>
        <v>0</v>
      </c>
      <c r="CE14" s="13"/>
    </row>
    <row r="15" spans="1:83" ht="23.25" customHeight="1">
      <c r="A15" s="1198"/>
      <c r="B15" s="1258"/>
      <c r="C15" s="1259"/>
      <c r="D15" s="1196"/>
      <c r="E15" s="1208"/>
      <c r="F15" s="1255"/>
      <c r="G15" s="1212"/>
      <c r="H15" s="28" t="s">
        <v>35</v>
      </c>
      <c r="I15" s="29">
        <f>IF($AA$1&gt;0,0,'医療分・支援・介護分（印刷））'!X17)</f>
        <v>1193</v>
      </c>
      <c r="J15" s="30" t="s">
        <v>40</v>
      </c>
      <c r="K15" s="29">
        <f>IF($AA$1&gt;0,0,'医療分・支援・介護分（印刷））'!Z17)</f>
        <v>1192</v>
      </c>
      <c r="L15" s="28" t="s">
        <v>35</v>
      </c>
      <c r="M15" s="29">
        <f>IF($AA$1&gt;0,0,'医療分・支援・介護分（印刷））'!X106)</f>
        <v>407</v>
      </c>
      <c r="N15" s="30" t="s">
        <v>40</v>
      </c>
      <c r="O15" s="29">
        <f>IF($AA$1&gt;0,0,'医療分・支援・介護分（印刷））'!Z106)</f>
        <v>408</v>
      </c>
      <c r="P15" s="28" t="s">
        <v>35</v>
      </c>
      <c r="Q15" s="29">
        <f>IF($AA$1&gt;0,0,'医療分・支援・介護分（印刷））'!X195)</f>
        <v>0</v>
      </c>
      <c r="R15" s="30" t="s">
        <v>40</v>
      </c>
      <c r="S15" s="31">
        <f>IF($AA$1&gt;0,0,'医療分・支援・介護分（印刷））'!Z195)</f>
        <v>0</v>
      </c>
      <c r="T15" s="264" t="s">
        <v>35</v>
      </c>
      <c r="U15" s="125">
        <f t="shared" si="5"/>
        <v>1600</v>
      </c>
      <c r="V15" s="126" t="s">
        <v>40</v>
      </c>
      <c r="W15" s="127">
        <f>K15+O15+S15</f>
        <v>1600</v>
      </c>
      <c r="AA15" s="56"/>
      <c r="AB15" s="12"/>
      <c r="AC15" s="1137"/>
      <c r="AD15" s="1138"/>
      <c r="AE15" s="50"/>
      <c r="AF15" s="12"/>
      <c r="AG15" s="28" t="s">
        <v>35</v>
      </c>
      <c r="AH15" s="29">
        <f>SUM(U14:U15)</f>
        <v>3300</v>
      </c>
      <c r="AI15" s="30" t="s">
        <v>40</v>
      </c>
      <c r="AJ15" s="31">
        <f>U14+U15+U16+U17+U18+U19+W14+W15</f>
        <v>12900</v>
      </c>
      <c r="AK15" s="12"/>
      <c r="AL15" s="28" t="s">
        <v>35</v>
      </c>
      <c r="AM15" s="29">
        <f>IF($AC$6=$AH$7,AH15,0)</f>
        <v>0</v>
      </c>
      <c r="AN15" s="30" t="s">
        <v>40</v>
      </c>
      <c r="AO15" s="31">
        <f>IF($AC$6=$AJ$7,AJ15,0)</f>
        <v>0</v>
      </c>
      <c r="AP15" s="12"/>
      <c r="AQ15" s="12"/>
      <c r="AR15" s="12"/>
      <c r="AS15" s="28" t="s">
        <v>35</v>
      </c>
      <c r="AT15" s="29">
        <f t="shared" si="6"/>
        <v>0</v>
      </c>
      <c r="AU15" s="30" t="s">
        <v>40</v>
      </c>
      <c r="AV15" s="31">
        <f>AV7</f>
        <v>0</v>
      </c>
      <c r="AW15" s="12"/>
      <c r="AX15" s="28" t="s">
        <v>35</v>
      </c>
      <c r="AY15" s="29">
        <f t="shared" si="7"/>
        <v>0</v>
      </c>
      <c r="AZ15" s="30" t="s">
        <v>40</v>
      </c>
      <c r="BA15" s="31">
        <f>IF(AV15=1,AJ15,0)</f>
        <v>0</v>
      </c>
      <c r="BC15" s="12"/>
      <c r="BD15" s="56"/>
      <c r="BE15" s="12"/>
      <c r="BF15" s="1137"/>
      <c r="BG15" s="1138"/>
      <c r="BH15" s="50"/>
      <c r="BI15" s="12"/>
      <c r="BJ15" s="28" t="s">
        <v>35</v>
      </c>
      <c r="BK15" s="29">
        <f>U15+U16+U17+U18+U19+W14+W15+W16+W17</f>
        <v>14400</v>
      </c>
      <c r="BL15" s="30" t="s">
        <v>40</v>
      </c>
      <c r="BM15" s="31">
        <f>SUM(W15:W17)</f>
        <v>4800</v>
      </c>
      <c r="BN15" s="12"/>
      <c r="BO15" s="28" t="s">
        <v>35</v>
      </c>
      <c r="BP15" s="29">
        <f>IF($BF$6=$BK$7,BK15,0)</f>
        <v>0</v>
      </c>
      <c r="BQ15" s="30" t="s">
        <v>40</v>
      </c>
      <c r="BR15" s="31">
        <f>IF($BF$6=$BM$7,BM15,0)</f>
        <v>0</v>
      </c>
      <c r="BS15" s="12"/>
      <c r="BT15" s="12"/>
      <c r="BU15" s="12"/>
      <c r="BV15" s="28" t="s">
        <v>35</v>
      </c>
      <c r="BW15" s="29">
        <f t="shared" si="8"/>
        <v>0</v>
      </c>
      <c r="BX15" s="30" t="s">
        <v>40</v>
      </c>
      <c r="BY15" s="31">
        <f>BY7</f>
        <v>0</v>
      </c>
      <c r="BZ15" s="12"/>
      <c r="CA15" s="28" t="s">
        <v>35</v>
      </c>
      <c r="CB15" s="29">
        <f t="shared" si="9"/>
        <v>0</v>
      </c>
      <c r="CC15" s="30" t="s">
        <v>40</v>
      </c>
      <c r="CD15" s="31">
        <f>IF(BY15=1,BM15,0)</f>
        <v>0</v>
      </c>
      <c r="CE15" s="13"/>
    </row>
    <row r="16" spans="1:83" ht="23.25" customHeight="1">
      <c r="A16" s="1185">
        <f>入力画面!$L$9</f>
        <v>0</v>
      </c>
      <c r="B16" s="1186"/>
      <c r="C16" s="1186"/>
      <c r="D16" s="1187"/>
      <c r="E16" s="1183" t="s">
        <v>97</v>
      </c>
      <c r="F16" s="1213">
        <f>AZ18+CC18</f>
        <v>0</v>
      </c>
      <c r="G16" s="1215" t="s">
        <v>6</v>
      </c>
      <c r="H16" s="28" t="s">
        <v>36</v>
      </c>
      <c r="I16" s="29">
        <f>IF($AA$1&gt;0,0,'医療分・支援・介護分（印刷））'!X18)</f>
        <v>1193</v>
      </c>
      <c r="J16" s="30" t="s">
        <v>41</v>
      </c>
      <c r="K16" s="29">
        <f>IF($AA$1&gt;0,0,'医療分・支援・介護分（印刷））'!Z18)</f>
        <v>1192</v>
      </c>
      <c r="L16" s="28" t="s">
        <v>36</v>
      </c>
      <c r="M16" s="29">
        <f>IF($AA$1&gt;0,0,'医療分・支援・介護分（印刷））'!X107)</f>
        <v>407</v>
      </c>
      <c r="N16" s="30" t="s">
        <v>41</v>
      </c>
      <c r="O16" s="29">
        <f>IF($AA$1&gt;0,0,'医療分・支援・介護分（印刷））'!Z107)</f>
        <v>408</v>
      </c>
      <c r="P16" s="28" t="s">
        <v>36</v>
      </c>
      <c r="Q16" s="29">
        <f>IF($AA$1&gt;0,0,'医療分・支援・介護分（印刷））'!X196)</f>
        <v>0</v>
      </c>
      <c r="R16" s="30" t="s">
        <v>41</v>
      </c>
      <c r="S16" s="31">
        <f>IF($AA$1&gt;0,0,'医療分・支援・介護分（印刷））'!Z196)</f>
        <v>0</v>
      </c>
      <c r="T16" s="264" t="s">
        <v>36</v>
      </c>
      <c r="U16" s="125">
        <f t="shared" si="5"/>
        <v>1600</v>
      </c>
      <c r="V16" s="126" t="s">
        <v>41</v>
      </c>
      <c r="W16" s="127">
        <f>K16+O16+S16</f>
        <v>1600</v>
      </c>
      <c r="AA16" s="56"/>
      <c r="AB16" s="12"/>
      <c r="AC16" s="1137"/>
      <c r="AD16" s="1138"/>
      <c r="AE16" s="50"/>
      <c r="AF16" s="12"/>
      <c r="AG16" s="28" t="s">
        <v>36</v>
      </c>
      <c r="AH16" s="29">
        <f>SUM(U14:U16)</f>
        <v>4900</v>
      </c>
      <c r="AI16" s="30" t="s">
        <v>41</v>
      </c>
      <c r="AJ16" s="31">
        <f>U14+U15+U16+U17+U18+U19+W14+W15+W16</f>
        <v>14500</v>
      </c>
      <c r="AK16" s="12"/>
      <c r="AL16" s="28" t="s">
        <v>36</v>
      </c>
      <c r="AM16" s="29">
        <f>IF($AC$6=$AH$8,AH16,0)</f>
        <v>0</v>
      </c>
      <c r="AN16" s="30" t="s">
        <v>41</v>
      </c>
      <c r="AO16" s="31">
        <f>IF($AC$6=$AJ$8,AJ16,0)</f>
        <v>0</v>
      </c>
      <c r="AP16" s="12"/>
      <c r="AQ16" s="12"/>
      <c r="AR16" s="12"/>
      <c r="AS16" s="28" t="s">
        <v>36</v>
      </c>
      <c r="AT16" s="29">
        <f t="shared" si="6"/>
        <v>0</v>
      </c>
      <c r="AU16" s="30" t="s">
        <v>41</v>
      </c>
      <c r="AV16" s="31">
        <f>AV8</f>
        <v>0</v>
      </c>
      <c r="AW16" s="12"/>
      <c r="AX16" s="28" t="s">
        <v>36</v>
      </c>
      <c r="AY16" s="29">
        <f t="shared" si="7"/>
        <v>0</v>
      </c>
      <c r="AZ16" s="30" t="s">
        <v>41</v>
      </c>
      <c r="BA16" s="31">
        <f>IF(AV16=1,AJ16,0)</f>
        <v>0</v>
      </c>
      <c r="BC16" s="12"/>
      <c r="BD16" s="56"/>
      <c r="BE16" s="12"/>
      <c r="BF16" s="1137"/>
      <c r="BG16" s="1138"/>
      <c r="BH16" s="50"/>
      <c r="BI16" s="12"/>
      <c r="BJ16" s="28" t="s">
        <v>36</v>
      </c>
      <c r="BK16" s="29">
        <f>U16+U17+U18+U19+W14+W15+W16+W17</f>
        <v>12800</v>
      </c>
      <c r="BL16" s="30" t="s">
        <v>41</v>
      </c>
      <c r="BM16" s="31">
        <f>SUM(W16:W17)</f>
        <v>3200</v>
      </c>
      <c r="BN16" s="12"/>
      <c r="BO16" s="28" t="s">
        <v>36</v>
      </c>
      <c r="BP16" s="29">
        <f>IF($BF$6=$BK$8,BK16,0)</f>
        <v>0</v>
      </c>
      <c r="BQ16" s="30" t="s">
        <v>41</v>
      </c>
      <c r="BR16" s="31">
        <f>IF($BF$6=$BM$8,BM16,0)</f>
        <v>0</v>
      </c>
      <c r="BS16" s="12"/>
      <c r="BT16" s="12"/>
      <c r="BU16" s="12"/>
      <c r="BV16" s="28" t="s">
        <v>36</v>
      </c>
      <c r="BW16" s="29">
        <f t="shared" si="8"/>
        <v>0</v>
      </c>
      <c r="BX16" s="30" t="s">
        <v>41</v>
      </c>
      <c r="BY16" s="31">
        <f>BY8</f>
        <v>0</v>
      </c>
      <c r="BZ16" s="12"/>
      <c r="CA16" s="28" t="s">
        <v>36</v>
      </c>
      <c r="CB16" s="29">
        <f t="shared" si="9"/>
        <v>0</v>
      </c>
      <c r="CC16" s="30" t="s">
        <v>41</v>
      </c>
      <c r="CD16" s="31">
        <f>IF(BY16=1,BM16,0)</f>
        <v>0</v>
      </c>
      <c r="CE16" s="13"/>
    </row>
    <row r="17" spans="1:83" ht="23.25" customHeight="1">
      <c r="A17" s="1188"/>
      <c r="B17" s="1189"/>
      <c r="C17" s="1189"/>
      <c r="D17" s="1190"/>
      <c r="E17" s="1184"/>
      <c r="F17" s="1214"/>
      <c r="G17" s="1215"/>
      <c r="H17" s="28" t="s">
        <v>43</v>
      </c>
      <c r="I17" s="29">
        <f>IF($AA$1&gt;0,0,'医療分・支援・介護分（印刷））'!X19)</f>
        <v>1193</v>
      </c>
      <c r="J17" s="30" t="s">
        <v>42</v>
      </c>
      <c r="K17" s="29">
        <f>IF($AA$1&gt;0,0,'医療分・支援・介護分（印刷））'!Z19)</f>
        <v>1192</v>
      </c>
      <c r="L17" s="28" t="s">
        <v>43</v>
      </c>
      <c r="M17" s="29">
        <f>IF($AA$1&gt;0,0,'医療分・支援・介護分（印刷））'!X108)</f>
        <v>407</v>
      </c>
      <c r="N17" s="30" t="s">
        <v>42</v>
      </c>
      <c r="O17" s="29">
        <f>IF($AA$1&gt;0,0,'医療分・支援・介護分（印刷））'!Z108)</f>
        <v>408</v>
      </c>
      <c r="P17" s="28" t="s">
        <v>43</v>
      </c>
      <c r="Q17" s="29">
        <f>IF($AA$1&gt;0,0,'医療分・支援・介護分（印刷））'!X197)</f>
        <v>0</v>
      </c>
      <c r="R17" s="30" t="s">
        <v>42</v>
      </c>
      <c r="S17" s="31">
        <f>IF($AA$1&gt;0,0,'医療分・支援・介護分（印刷））'!Z197)</f>
        <v>0</v>
      </c>
      <c r="T17" s="264" t="s">
        <v>43</v>
      </c>
      <c r="U17" s="125">
        <f t="shared" si="5"/>
        <v>1600</v>
      </c>
      <c r="V17" s="265" t="s">
        <v>42</v>
      </c>
      <c r="W17" s="127">
        <f>K17+O17+S17</f>
        <v>1600</v>
      </c>
      <c r="AA17" s="56"/>
      <c r="AB17" s="12"/>
      <c r="AC17" s="1145"/>
      <c r="AD17" s="1145"/>
      <c r="AE17" s="1145"/>
      <c r="AF17" s="12"/>
      <c r="AG17" s="28" t="s">
        <v>43</v>
      </c>
      <c r="AH17" s="29">
        <f>SUM(U14:U17)</f>
        <v>6500</v>
      </c>
      <c r="AI17" s="133" t="s">
        <v>93</v>
      </c>
      <c r="AJ17" s="144">
        <f>U14+U15+U16+U17+U18+U19+W14+W15+W16+W17</f>
        <v>16100</v>
      </c>
      <c r="AK17" s="12"/>
      <c r="AL17" s="28" t="s">
        <v>43</v>
      </c>
      <c r="AM17" s="29">
        <f>IF($AC$6=$AH$9,AH17,0)</f>
        <v>0</v>
      </c>
      <c r="AN17" s="133" t="s">
        <v>93</v>
      </c>
      <c r="AO17" s="31">
        <f>IF($AC$6=$AJ$9,AJ17,0)</f>
        <v>0</v>
      </c>
      <c r="AP17" s="12"/>
      <c r="AQ17" s="12"/>
      <c r="AR17" s="12"/>
      <c r="AS17" s="28" t="s">
        <v>43</v>
      </c>
      <c r="AT17" s="29">
        <f t="shared" si="6"/>
        <v>0</v>
      </c>
      <c r="AU17" s="133" t="s">
        <v>93</v>
      </c>
      <c r="AV17" s="31">
        <f>AV9</f>
        <v>0</v>
      </c>
      <c r="AW17" s="12"/>
      <c r="AX17" s="28" t="s">
        <v>43</v>
      </c>
      <c r="AY17" s="29">
        <f t="shared" si="7"/>
        <v>0</v>
      </c>
      <c r="AZ17" s="133" t="s">
        <v>93</v>
      </c>
      <c r="BA17" s="31">
        <f>IF(AV17=1,AJ17,0)</f>
        <v>0</v>
      </c>
      <c r="BC17" s="12"/>
      <c r="BD17" s="56"/>
      <c r="BE17" s="12"/>
      <c r="BF17" s="1145"/>
      <c r="BG17" s="1145"/>
      <c r="BH17" s="1145"/>
      <c r="BI17" s="12"/>
      <c r="BJ17" s="28" t="s">
        <v>43</v>
      </c>
      <c r="BK17" s="29">
        <f>U17+U18+U19+W14+W15+W16+W17</f>
        <v>11200</v>
      </c>
      <c r="BL17" s="30" t="s">
        <v>42</v>
      </c>
      <c r="BM17" s="144">
        <f>W17</f>
        <v>1600</v>
      </c>
      <c r="BN17" s="12"/>
      <c r="BO17" s="28" t="s">
        <v>43</v>
      </c>
      <c r="BP17" s="29">
        <f>IF($BF$6=$BK$9,BK17,0)</f>
        <v>0</v>
      </c>
      <c r="BQ17" s="133" t="s">
        <v>93</v>
      </c>
      <c r="BR17" s="31">
        <f>IF($BF$6=$BM$9,BM17,0)</f>
        <v>0</v>
      </c>
      <c r="BS17" s="12"/>
      <c r="BT17" s="12"/>
      <c r="BU17" s="12"/>
      <c r="BV17" s="28" t="s">
        <v>43</v>
      </c>
      <c r="BW17" s="29">
        <f t="shared" si="8"/>
        <v>0</v>
      </c>
      <c r="BX17" s="133" t="s">
        <v>93</v>
      </c>
      <c r="BY17" s="31">
        <f>BY9</f>
        <v>0</v>
      </c>
      <c r="BZ17" s="12"/>
      <c r="CA17" s="28" t="s">
        <v>43</v>
      </c>
      <c r="CB17" s="29">
        <f t="shared" si="9"/>
        <v>0</v>
      </c>
      <c r="CC17" s="133" t="s">
        <v>93</v>
      </c>
      <c r="CD17" s="31">
        <f>IF(BY17=1,BM17,0)</f>
        <v>0</v>
      </c>
      <c r="CE17" s="13"/>
    </row>
    <row r="18" spans="1:83" ht="23.25" customHeight="1">
      <c r="A18" s="1171">
        <f>IF((Q15+Q16+Q17+Q18+Q19+S14+S15+S16+S17)&lt;0,"介護該当者は①から順に入力してください｡",0)</f>
        <v>0</v>
      </c>
      <c r="B18" s="1172"/>
      <c r="C18" s="1172"/>
      <c r="D18" s="1173"/>
      <c r="E18" s="1177">
        <f>IF(AQ18=1,"＊入金額エラー＊",0)</f>
        <v>0</v>
      </c>
      <c r="F18" s="1178"/>
      <c r="G18" s="1179"/>
      <c r="H18" s="28" t="s">
        <v>37</v>
      </c>
      <c r="I18" s="29">
        <f>IF($AA$1&gt;0,0,'医療分・支援・介護分（印刷））'!X20)</f>
        <v>1193</v>
      </c>
      <c r="J18" s="1199" t="s">
        <v>44</v>
      </c>
      <c r="K18" s="1203">
        <f>IF(AA1&gt;0,0,'医療分・支援・介護分（印刷））'!Z20)</f>
        <v>12000</v>
      </c>
      <c r="L18" s="28" t="s">
        <v>37</v>
      </c>
      <c r="M18" s="29">
        <f>IF($AA$1&gt;0,0,'医療分・支援・介護分（印刷））'!X109)</f>
        <v>407</v>
      </c>
      <c r="N18" s="1199" t="s">
        <v>44</v>
      </c>
      <c r="O18" s="1201">
        <f>IF($AA$1&gt;0,0,'医療分・支援・介護分（印刷））'!Z109)</f>
        <v>4100</v>
      </c>
      <c r="P18" s="28" t="s">
        <v>37</v>
      </c>
      <c r="Q18" s="29">
        <f>IF($AA$1&gt;0,0,'医療分・支援・介護分（印刷））'!X198)</f>
        <v>0</v>
      </c>
      <c r="R18" s="1199" t="s">
        <v>44</v>
      </c>
      <c r="S18" s="1201">
        <f>IF(AA1&gt;0,0,'医療分・支援・介護分（印刷））'!Z198)</f>
        <v>0</v>
      </c>
      <c r="T18" s="264" t="s">
        <v>37</v>
      </c>
      <c r="U18" s="125">
        <f t="shared" si="5"/>
        <v>1600</v>
      </c>
      <c r="V18" s="1205" t="s">
        <v>44</v>
      </c>
      <c r="W18" s="1166">
        <f>K18+O18+S18</f>
        <v>16100</v>
      </c>
      <c r="AA18" s="56"/>
      <c r="AB18" s="12"/>
      <c r="AC18" s="1137"/>
      <c r="AD18" s="1138"/>
      <c r="AE18" s="50"/>
      <c r="AF18" s="12"/>
      <c r="AG18" s="28" t="s">
        <v>37</v>
      </c>
      <c r="AH18" s="81">
        <f>SUM(U14:U18)</f>
        <v>8100</v>
      </c>
      <c r="AI18" s="1139"/>
      <c r="AJ18" s="1141"/>
      <c r="AK18" s="12"/>
      <c r="AL18" s="28" t="s">
        <v>37</v>
      </c>
      <c r="AM18" s="29">
        <f>IF($AC$6=$AH$10,AH18,0)</f>
        <v>0</v>
      </c>
      <c r="AN18" s="1133">
        <f>AM14+AM15+AM16+AM17+AM18+AM19+AO14+AO15+AO16+AO17</f>
        <v>0</v>
      </c>
      <c r="AO18" s="1134"/>
      <c r="AP18" s="1143">
        <f>IF(AH14=0,"－",IF(AN18&lt;AC14,"エラー",0))</f>
        <v>0</v>
      </c>
      <c r="AQ18" s="1143">
        <f>IF(AP18="エラー",1,0)</f>
        <v>0</v>
      </c>
      <c r="AR18" s="12"/>
      <c r="AS18" s="28" t="s">
        <v>37</v>
      </c>
      <c r="AT18" s="29">
        <f t="shared" si="6"/>
        <v>0</v>
      </c>
      <c r="AU18" s="1133"/>
      <c r="AV18" s="1134"/>
      <c r="AW18" s="12"/>
      <c r="AX18" s="28" t="s">
        <v>37</v>
      </c>
      <c r="AY18" s="29">
        <f t="shared" si="7"/>
        <v>0</v>
      </c>
      <c r="AZ18" s="1133">
        <f>AY14+AY15+AY16+AY17+AY18+AY19+BA14+BA15+BA16+BA17</f>
        <v>0</v>
      </c>
      <c r="BA18" s="1134"/>
      <c r="BC18" s="12"/>
      <c r="BD18" s="56"/>
      <c r="BE18" s="12"/>
      <c r="BF18" s="1137"/>
      <c r="BG18" s="1138"/>
      <c r="BH18" s="50"/>
      <c r="BI18" s="12"/>
      <c r="BJ18" s="28" t="s">
        <v>37</v>
      </c>
      <c r="BK18" s="81">
        <f>U18+U19+W14+W15+W16+W17</f>
        <v>9600</v>
      </c>
      <c r="BL18" s="1139"/>
      <c r="BM18" s="1141"/>
      <c r="BN18" s="12"/>
      <c r="BO18" s="28" t="s">
        <v>37</v>
      </c>
      <c r="BP18" s="29">
        <f>IF($BF$6=$BK$10,BK18,0)</f>
        <v>0</v>
      </c>
      <c r="BQ18" s="1133">
        <f>BP14+BP15+BP16+BP17+BP18+BP19+BR14+BR15+BR16+BR17</f>
        <v>0</v>
      </c>
      <c r="BR18" s="1134"/>
      <c r="BS18" s="1143">
        <f>IF(BK14=0,"－",IF(BQ18&lt;BF14,"エラー",0))</f>
        <v>0</v>
      </c>
      <c r="BT18" s="1143">
        <f>IF(BS18="エラー",1,0)</f>
        <v>0</v>
      </c>
      <c r="BU18" s="12"/>
      <c r="BV18" s="28" t="s">
        <v>37</v>
      </c>
      <c r="BW18" s="29">
        <f t="shared" si="8"/>
        <v>0</v>
      </c>
      <c r="BX18" s="1133"/>
      <c r="BY18" s="1134"/>
      <c r="BZ18" s="12"/>
      <c r="CA18" s="28" t="s">
        <v>37</v>
      </c>
      <c r="CB18" s="29">
        <f t="shared" si="9"/>
        <v>0</v>
      </c>
      <c r="CC18" s="1133">
        <f>CB14+CB15+CB16+CB17+CB18+CB19+CD14+CD15+CD16+CD17</f>
        <v>0</v>
      </c>
      <c r="CD18" s="1134"/>
      <c r="CE18" s="13"/>
    </row>
    <row r="19" spans="1:83" ht="23.25" customHeight="1">
      <c r="A19" s="1174"/>
      <c r="B19" s="1175"/>
      <c r="C19" s="1175"/>
      <c r="D19" s="1176"/>
      <c r="E19" s="1180"/>
      <c r="F19" s="1181"/>
      <c r="G19" s="1182"/>
      <c r="H19" s="65" t="s">
        <v>38</v>
      </c>
      <c r="I19" s="66">
        <f>IF($AA$1&gt;0,0,'医療分・支援・介護分（印刷））'!X21)</f>
        <v>1193</v>
      </c>
      <c r="J19" s="1200"/>
      <c r="K19" s="1204"/>
      <c r="L19" s="65" t="s">
        <v>38</v>
      </c>
      <c r="M19" s="66">
        <f>IF($AA$1&gt;0,0,'医療分・支援・介護分（印刷））'!X110)</f>
        <v>407</v>
      </c>
      <c r="N19" s="1200"/>
      <c r="O19" s="1202"/>
      <c r="P19" s="65" t="s">
        <v>38</v>
      </c>
      <c r="Q19" s="66">
        <f>IF($AA$1&gt;0,0,'医療分・支援・介護分（印刷））'!X199)</f>
        <v>0</v>
      </c>
      <c r="R19" s="1200"/>
      <c r="S19" s="1202"/>
      <c r="T19" s="266" t="s">
        <v>38</v>
      </c>
      <c r="U19" s="129">
        <f t="shared" si="5"/>
        <v>1600</v>
      </c>
      <c r="V19" s="1206"/>
      <c r="W19" s="1167"/>
      <c r="Y19" s="274" t="str">
        <f>IF(W18=0,"－",IF(F14=W18,"ＯＫ","エラー"))</f>
        <v>ＯＫ</v>
      </c>
      <c r="AA19" s="56"/>
      <c r="AB19" s="12"/>
      <c r="AC19" s="12"/>
      <c r="AD19" s="12"/>
      <c r="AE19" s="12"/>
      <c r="AF19" s="12"/>
      <c r="AG19" s="65" t="s">
        <v>38</v>
      </c>
      <c r="AH19" s="132">
        <f>SUM(U14:U19)</f>
        <v>9700</v>
      </c>
      <c r="AI19" s="1140"/>
      <c r="AJ19" s="1142"/>
      <c r="AK19" s="12"/>
      <c r="AL19" s="65" t="s">
        <v>38</v>
      </c>
      <c r="AM19" s="66">
        <f>IF($AC$6=$AH$11,AH19,0)</f>
        <v>0</v>
      </c>
      <c r="AN19" s="1135"/>
      <c r="AO19" s="1136"/>
      <c r="AP19" s="1144"/>
      <c r="AQ19" s="1144"/>
      <c r="AR19" s="12"/>
      <c r="AS19" s="65" t="s">
        <v>38</v>
      </c>
      <c r="AT19" s="66">
        <f t="shared" si="6"/>
        <v>0</v>
      </c>
      <c r="AU19" s="1135"/>
      <c r="AV19" s="1136"/>
      <c r="AW19" s="12"/>
      <c r="AX19" s="65" t="s">
        <v>38</v>
      </c>
      <c r="AY19" s="66">
        <f t="shared" si="7"/>
        <v>0</v>
      </c>
      <c r="AZ19" s="1135"/>
      <c r="BA19" s="1136"/>
      <c r="BC19" s="12"/>
      <c r="BD19" s="56"/>
      <c r="BE19" s="12"/>
      <c r="BF19" s="12"/>
      <c r="BG19" s="12"/>
      <c r="BH19" s="12"/>
      <c r="BI19" s="12"/>
      <c r="BJ19" s="65" t="s">
        <v>38</v>
      </c>
      <c r="BK19" s="132">
        <f>U19+W14+W15+W16+W17</f>
        <v>8000</v>
      </c>
      <c r="BL19" s="1140"/>
      <c r="BM19" s="1142"/>
      <c r="BN19" s="12"/>
      <c r="BO19" s="65" t="s">
        <v>38</v>
      </c>
      <c r="BP19" s="66">
        <f>IF($BF$6=$BK$11,BK19,0)</f>
        <v>0</v>
      </c>
      <c r="BQ19" s="1135"/>
      <c r="BR19" s="1136"/>
      <c r="BS19" s="1144"/>
      <c r="BT19" s="1144"/>
      <c r="BU19" s="12"/>
      <c r="BV19" s="65" t="s">
        <v>38</v>
      </c>
      <c r="BW19" s="66">
        <f t="shared" si="8"/>
        <v>0</v>
      </c>
      <c r="BX19" s="1135"/>
      <c r="BY19" s="1136"/>
      <c r="BZ19" s="12"/>
      <c r="CA19" s="65" t="s">
        <v>38</v>
      </c>
      <c r="CB19" s="66">
        <f t="shared" si="9"/>
        <v>0</v>
      </c>
      <c r="CC19" s="1135"/>
      <c r="CD19" s="1136"/>
      <c r="CE19" s="13"/>
    </row>
    <row r="20" spans="1:83" ht="9.9499999999999993" customHeight="1">
      <c r="E20" s="68"/>
      <c r="F20" s="68"/>
      <c r="AA20" s="56"/>
      <c r="AB20" s="12"/>
      <c r="AC20" s="12"/>
      <c r="AD20" s="12"/>
      <c r="AE20" s="12"/>
      <c r="AF20" s="12"/>
      <c r="AG20" s="4"/>
      <c r="AH20" s="4"/>
      <c r="AI20" s="4"/>
      <c r="AJ20" s="4"/>
      <c r="AK20" s="12"/>
      <c r="AL20" s="4"/>
      <c r="AM20" s="4"/>
      <c r="AN20" s="4"/>
      <c r="AO20" s="4"/>
      <c r="AP20" s="12"/>
      <c r="AQ20" s="12"/>
      <c r="AR20" s="12"/>
      <c r="AS20" s="4"/>
      <c r="AT20" s="4"/>
      <c r="AU20" s="4"/>
      <c r="AV20" s="4"/>
      <c r="AW20" s="12"/>
      <c r="AX20" s="4"/>
      <c r="AY20" s="4"/>
      <c r="AZ20" s="4"/>
      <c r="BA20" s="4"/>
      <c r="BC20" s="12"/>
      <c r="BD20" s="56"/>
      <c r="BE20" s="12"/>
      <c r="BF20" s="12"/>
      <c r="BG20" s="12"/>
      <c r="BH20" s="12"/>
      <c r="BI20" s="12"/>
      <c r="BJ20" s="4"/>
      <c r="BK20" s="4"/>
      <c r="BL20" s="4"/>
      <c r="BM20" s="4"/>
      <c r="BN20" s="12"/>
      <c r="BO20" s="4"/>
      <c r="BP20" s="4"/>
      <c r="BQ20" s="4"/>
      <c r="BR20" s="4"/>
      <c r="BS20" s="12"/>
      <c r="BT20" s="12"/>
      <c r="BU20" s="12"/>
      <c r="BV20" s="4"/>
      <c r="BW20" s="4"/>
      <c r="BX20" s="4"/>
      <c r="BY20" s="4"/>
      <c r="BZ20" s="12"/>
      <c r="CA20" s="4"/>
      <c r="CB20" s="4"/>
      <c r="CC20" s="4"/>
      <c r="CD20" s="4"/>
      <c r="CE20" s="13"/>
    </row>
    <row r="21" spans="1:83" ht="23.25" customHeight="1">
      <c r="A21" s="1197" t="s">
        <v>152</v>
      </c>
      <c r="B21" s="1194" t="s">
        <v>77</v>
      </c>
      <c r="C21" s="1194"/>
      <c r="D21" s="1194"/>
      <c r="E21" s="1216" t="s">
        <v>82</v>
      </c>
      <c r="F21" s="1217"/>
      <c r="G21" s="1218"/>
      <c r="H21" s="1164" t="s">
        <v>69</v>
      </c>
      <c r="I21" s="1164"/>
      <c r="J21" s="1164"/>
      <c r="K21" s="1164"/>
      <c r="L21" s="1163" t="s">
        <v>159</v>
      </c>
      <c r="M21" s="1164"/>
      <c r="N21" s="1164"/>
      <c r="O21" s="1165"/>
      <c r="P21" s="1163" t="s">
        <v>70</v>
      </c>
      <c r="Q21" s="1164"/>
      <c r="R21" s="1164"/>
      <c r="S21" s="1165"/>
      <c r="T21" s="1163" t="s">
        <v>76</v>
      </c>
      <c r="U21" s="1164"/>
      <c r="V21" s="1164"/>
      <c r="W21" s="1165"/>
      <c r="AA21" s="56"/>
      <c r="AB21" s="12"/>
      <c r="AC21" s="12"/>
      <c r="AD21" s="12"/>
      <c r="AE21" s="12"/>
      <c r="AF21" s="12"/>
      <c r="AG21" s="1146" t="s">
        <v>94</v>
      </c>
      <c r="AH21" s="1147"/>
      <c r="AI21" s="1147"/>
      <c r="AJ21" s="1148"/>
      <c r="AK21" s="12"/>
      <c r="AL21" s="1146" t="s">
        <v>95</v>
      </c>
      <c r="AM21" s="1147"/>
      <c r="AN21" s="1147"/>
      <c r="AO21" s="1148"/>
      <c r="AP21" s="12"/>
      <c r="AQ21" s="12"/>
      <c r="AR21" s="12"/>
      <c r="AS21" s="1146" t="s">
        <v>98</v>
      </c>
      <c r="AT21" s="1147"/>
      <c r="AU21" s="1147"/>
      <c r="AV21" s="1148"/>
      <c r="AW21" s="12"/>
      <c r="AX21" s="1146" t="s">
        <v>98</v>
      </c>
      <c r="AY21" s="1147"/>
      <c r="AZ21" s="1147"/>
      <c r="BA21" s="1148"/>
      <c r="BC21" s="12"/>
      <c r="BD21" s="56"/>
      <c r="BE21" s="12"/>
      <c r="BF21" s="12"/>
      <c r="BG21" s="12"/>
      <c r="BH21" s="12"/>
      <c r="BI21" s="12"/>
      <c r="BJ21" s="1146" t="s">
        <v>101</v>
      </c>
      <c r="BK21" s="1147"/>
      <c r="BL21" s="1147"/>
      <c r="BM21" s="1148"/>
      <c r="BN21" s="12"/>
      <c r="BO21" s="1146" t="s">
        <v>95</v>
      </c>
      <c r="BP21" s="1147"/>
      <c r="BQ21" s="1147"/>
      <c r="BR21" s="1148"/>
      <c r="BS21" s="12"/>
      <c r="BT21" s="12"/>
      <c r="BU21" s="12"/>
      <c r="BV21" s="1146" t="s">
        <v>98</v>
      </c>
      <c r="BW21" s="1147"/>
      <c r="BX21" s="1147"/>
      <c r="BY21" s="1148"/>
      <c r="BZ21" s="12"/>
      <c r="CA21" s="1146" t="s">
        <v>98</v>
      </c>
      <c r="CB21" s="1147"/>
      <c r="CC21" s="1147"/>
      <c r="CD21" s="1148"/>
      <c r="CE21" s="13"/>
    </row>
    <row r="22" spans="1:83" ht="23.25" customHeight="1">
      <c r="A22" s="1198"/>
      <c r="B22" s="1191">
        <f>入力画面!C17</f>
        <v>0</v>
      </c>
      <c r="C22" s="1186"/>
      <c r="D22" s="1195">
        <f>IF(F22&gt;0,"様",0)</f>
        <v>0</v>
      </c>
      <c r="E22" s="1207" t="s">
        <v>75</v>
      </c>
      <c r="F22" s="1209">
        <f>IF(AA1&gt;0,0,'医療分・支援・介護分（印刷））'!U30+'医療分・支援・介護分（印刷））'!U119+'医療分・支援・介護分（印刷））'!U208)</f>
        <v>0</v>
      </c>
      <c r="G22" s="1211" t="s">
        <v>6</v>
      </c>
      <c r="H22" s="82" t="s">
        <v>34</v>
      </c>
      <c r="I22" s="29">
        <f>IF($AA$1&gt;0,0,'医療分・支援・介護分（印刷））'!X26)</f>
        <v>0</v>
      </c>
      <c r="J22" s="30" t="s">
        <v>39</v>
      </c>
      <c r="K22" s="29">
        <f>IF($AA$1&gt;0,0,'医療分・支援・介護分（印刷））'!Z26)</f>
        <v>0</v>
      </c>
      <c r="L22" s="28" t="s">
        <v>34</v>
      </c>
      <c r="M22" s="29">
        <f>IF($AA$1&gt;0,0,'医療分・支援・介護分（印刷））'!X115)</f>
        <v>0</v>
      </c>
      <c r="N22" s="30" t="s">
        <v>39</v>
      </c>
      <c r="O22" s="29">
        <f>IF($AA$1&gt;0,0,'医療分・支援・介護分（印刷））'!Z115)</f>
        <v>0</v>
      </c>
      <c r="P22" s="28" t="s">
        <v>34</v>
      </c>
      <c r="Q22" s="29">
        <f>IF($AA$1&gt;0,0,'医療分・支援・介護分（印刷））'!X204)</f>
        <v>0</v>
      </c>
      <c r="R22" s="30" t="s">
        <v>39</v>
      </c>
      <c r="S22" s="29">
        <f>IF($AA$1&gt;0,0,'医療分・支援・介護分（印刷））'!Z204)</f>
        <v>0</v>
      </c>
      <c r="T22" s="260" t="s">
        <v>34</v>
      </c>
      <c r="U22" s="261">
        <f t="shared" ref="U22:U27" si="10">I22+M22+Q22</f>
        <v>0</v>
      </c>
      <c r="V22" s="262" t="s">
        <v>39</v>
      </c>
      <c r="W22" s="263">
        <f>K22+O22+S22</f>
        <v>0</v>
      </c>
      <c r="AA22" s="56"/>
      <c r="AB22" s="50"/>
      <c r="AC22" s="1149"/>
      <c r="AD22" s="1150"/>
      <c r="AE22" s="50"/>
      <c r="AF22" s="12"/>
      <c r="AG22" s="28" t="s">
        <v>34</v>
      </c>
      <c r="AH22" s="29">
        <f>U22</f>
        <v>0</v>
      </c>
      <c r="AI22" s="30" t="s">
        <v>39</v>
      </c>
      <c r="AJ22" s="31">
        <f>U22+U23+U24+U25+U26+U27+W22</f>
        <v>0</v>
      </c>
      <c r="AK22" s="12"/>
      <c r="AL22" s="28" t="s">
        <v>34</v>
      </c>
      <c r="AM22" s="29">
        <f>IF($AC$6=$AH$6,AH22,0)</f>
        <v>0</v>
      </c>
      <c r="AN22" s="30" t="s">
        <v>39</v>
      </c>
      <c r="AO22" s="31">
        <f>IF($AC$6=$AJ$6,AJ22,0)</f>
        <v>0</v>
      </c>
      <c r="AP22" s="12"/>
      <c r="AQ22" s="12"/>
      <c r="AR22" s="12"/>
      <c r="AS22" s="28" t="s">
        <v>34</v>
      </c>
      <c r="AT22" s="29">
        <f t="shared" ref="AT22:AT27" si="11">AT14</f>
        <v>0</v>
      </c>
      <c r="AU22" s="30" t="s">
        <v>39</v>
      </c>
      <c r="AV22" s="31">
        <f>AV14</f>
        <v>0</v>
      </c>
      <c r="AW22" s="12"/>
      <c r="AX22" s="28" t="s">
        <v>34</v>
      </c>
      <c r="AY22" s="29">
        <f t="shared" ref="AY22:AY27" si="12">IF(AT22=1,AH22,0)</f>
        <v>0</v>
      </c>
      <c r="AZ22" s="30" t="s">
        <v>39</v>
      </c>
      <c r="BA22" s="31">
        <f>IF(AV22=1,AJ22,0)</f>
        <v>0</v>
      </c>
      <c r="BC22" s="12"/>
      <c r="BD22" s="56"/>
      <c r="BE22" s="50"/>
      <c r="BF22" s="1149"/>
      <c r="BG22" s="1150"/>
      <c r="BH22" s="50"/>
      <c r="BI22" s="12"/>
      <c r="BJ22" s="28" t="s">
        <v>34</v>
      </c>
      <c r="BK22" s="29">
        <f>U22+U23+U24+U25+U26+U27+W22+W23+W24+W25</f>
        <v>0</v>
      </c>
      <c r="BL22" s="30" t="s">
        <v>39</v>
      </c>
      <c r="BM22" s="31">
        <f>SUM(W22:W25)</f>
        <v>0</v>
      </c>
      <c r="BN22" s="12"/>
      <c r="BO22" s="28" t="s">
        <v>34</v>
      </c>
      <c r="BP22" s="29">
        <f>IF($BF$6=$BK$6,BK22,0)</f>
        <v>0</v>
      </c>
      <c r="BQ22" s="30" t="s">
        <v>39</v>
      </c>
      <c r="BR22" s="31">
        <f>IF($BF$6=$BM$6,BM22,0)</f>
        <v>0</v>
      </c>
      <c r="BS22" s="12"/>
      <c r="BT22" s="12"/>
      <c r="BU22" s="12"/>
      <c r="BV22" s="28" t="s">
        <v>34</v>
      </c>
      <c r="BW22" s="29">
        <f t="shared" ref="BW22:BW27" si="13">BW14</f>
        <v>0</v>
      </c>
      <c r="BX22" s="30" t="s">
        <v>39</v>
      </c>
      <c r="BY22" s="31">
        <f>BY14</f>
        <v>0</v>
      </c>
      <c r="BZ22" s="12"/>
      <c r="CA22" s="28" t="s">
        <v>34</v>
      </c>
      <c r="CB22" s="29">
        <f t="shared" ref="CB22:CB27" si="14">IF(BW22=1,BK22,0)</f>
        <v>0</v>
      </c>
      <c r="CC22" s="30" t="s">
        <v>39</v>
      </c>
      <c r="CD22" s="31">
        <f>IF(BY22=1,BM22,0)</f>
        <v>0</v>
      </c>
      <c r="CE22" s="13"/>
    </row>
    <row r="23" spans="1:83" ht="23.25" customHeight="1">
      <c r="A23" s="1198"/>
      <c r="B23" s="1192"/>
      <c r="C23" s="1193"/>
      <c r="D23" s="1196"/>
      <c r="E23" s="1208"/>
      <c r="F23" s="1210"/>
      <c r="G23" s="1212"/>
      <c r="H23" s="82" t="s">
        <v>35</v>
      </c>
      <c r="I23" s="29">
        <f>IF($AA$1&gt;0,0,'医療分・支援・介護分（印刷））'!X27)</f>
        <v>0</v>
      </c>
      <c r="J23" s="30" t="s">
        <v>40</v>
      </c>
      <c r="K23" s="29">
        <f>IF($AA$1&gt;0,0,'医療分・支援・介護分（印刷））'!Z27)</f>
        <v>0</v>
      </c>
      <c r="L23" s="28" t="s">
        <v>35</v>
      </c>
      <c r="M23" s="29">
        <f>IF($AA$1&gt;0,0,'医療分・支援・介護分（印刷））'!X116)</f>
        <v>0</v>
      </c>
      <c r="N23" s="30" t="s">
        <v>40</v>
      </c>
      <c r="O23" s="29">
        <f>IF($AA$1&gt;0,0,'医療分・支援・介護分（印刷））'!Z116)</f>
        <v>0</v>
      </c>
      <c r="P23" s="28" t="s">
        <v>35</v>
      </c>
      <c r="Q23" s="29">
        <f>IF($AA$1&gt;0,0,'医療分・支援・介護分（印刷））'!X205)</f>
        <v>0</v>
      </c>
      <c r="R23" s="30" t="s">
        <v>40</v>
      </c>
      <c r="S23" s="29">
        <f>IF($AA$1&gt;0,0,'医療分・支援・介護分（印刷））'!Z205)</f>
        <v>0</v>
      </c>
      <c r="T23" s="264" t="s">
        <v>35</v>
      </c>
      <c r="U23" s="125">
        <f t="shared" si="10"/>
        <v>0</v>
      </c>
      <c r="V23" s="126" t="s">
        <v>40</v>
      </c>
      <c r="W23" s="127">
        <f>K23+O23+S23</f>
        <v>0</v>
      </c>
      <c r="AA23" s="56"/>
      <c r="AB23" s="12"/>
      <c r="AC23" s="1137"/>
      <c r="AD23" s="1138"/>
      <c r="AE23" s="50"/>
      <c r="AF23" s="12"/>
      <c r="AG23" s="28" t="s">
        <v>35</v>
      </c>
      <c r="AH23" s="29">
        <f>SUM(U22:U23)</f>
        <v>0</v>
      </c>
      <c r="AI23" s="30" t="s">
        <v>40</v>
      </c>
      <c r="AJ23" s="31">
        <f>U22+U23+U24+U25+U26+U27+W22+W23</f>
        <v>0</v>
      </c>
      <c r="AK23" s="12"/>
      <c r="AL23" s="28" t="s">
        <v>35</v>
      </c>
      <c r="AM23" s="29">
        <f>IF($AC$6=$AH$7,AH23,0)</f>
        <v>0</v>
      </c>
      <c r="AN23" s="30" t="s">
        <v>40</v>
      </c>
      <c r="AO23" s="31">
        <f>IF($AC$6=$AJ$7,AJ23,0)</f>
        <v>0</v>
      </c>
      <c r="AP23" s="12"/>
      <c r="AQ23" s="12"/>
      <c r="AR23" s="12"/>
      <c r="AS23" s="28" t="s">
        <v>35</v>
      </c>
      <c r="AT23" s="29">
        <f t="shared" si="11"/>
        <v>0</v>
      </c>
      <c r="AU23" s="30" t="s">
        <v>40</v>
      </c>
      <c r="AV23" s="31">
        <f>AV15</f>
        <v>0</v>
      </c>
      <c r="AW23" s="12"/>
      <c r="AX23" s="28" t="s">
        <v>35</v>
      </c>
      <c r="AY23" s="29">
        <f t="shared" si="12"/>
        <v>0</v>
      </c>
      <c r="AZ23" s="30" t="s">
        <v>40</v>
      </c>
      <c r="BA23" s="31">
        <f>IF(AV23=1,AJ23,0)</f>
        <v>0</v>
      </c>
      <c r="BC23" s="12"/>
      <c r="BD23" s="56"/>
      <c r="BE23" s="12"/>
      <c r="BF23" s="1137"/>
      <c r="BG23" s="1138"/>
      <c r="BH23" s="50"/>
      <c r="BI23" s="12"/>
      <c r="BJ23" s="28" t="s">
        <v>35</v>
      </c>
      <c r="BK23" s="29">
        <f>U23+U24+U25+U26+U27+W22+W23+W24+W25</f>
        <v>0</v>
      </c>
      <c r="BL23" s="30" t="s">
        <v>40</v>
      </c>
      <c r="BM23" s="31">
        <f>SUM(W23:W25)</f>
        <v>0</v>
      </c>
      <c r="BN23" s="12"/>
      <c r="BO23" s="28" t="s">
        <v>35</v>
      </c>
      <c r="BP23" s="29">
        <f>IF($BF$6=$BK$7,BK23,0)</f>
        <v>0</v>
      </c>
      <c r="BQ23" s="30" t="s">
        <v>40</v>
      </c>
      <c r="BR23" s="31">
        <f>IF($BF$6=$BM$7,BM23,0)</f>
        <v>0</v>
      </c>
      <c r="BS23" s="12"/>
      <c r="BT23" s="12"/>
      <c r="BU23" s="12"/>
      <c r="BV23" s="28" t="s">
        <v>35</v>
      </c>
      <c r="BW23" s="29">
        <f t="shared" si="13"/>
        <v>0</v>
      </c>
      <c r="BX23" s="30" t="s">
        <v>40</v>
      </c>
      <c r="BY23" s="31">
        <f>BY15</f>
        <v>0</v>
      </c>
      <c r="BZ23" s="12"/>
      <c r="CA23" s="28" t="s">
        <v>35</v>
      </c>
      <c r="CB23" s="29">
        <f t="shared" si="14"/>
        <v>0</v>
      </c>
      <c r="CC23" s="30" t="s">
        <v>40</v>
      </c>
      <c r="CD23" s="31">
        <f>IF(BY23=1,BM23,0)</f>
        <v>0</v>
      </c>
      <c r="CE23" s="13"/>
    </row>
    <row r="24" spans="1:83" ht="23.25" customHeight="1">
      <c r="A24" s="1185">
        <f>入力画面!$L$9</f>
        <v>0</v>
      </c>
      <c r="B24" s="1186"/>
      <c r="C24" s="1186"/>
      <c r="D24" s="1187"/>
      <c r="E24" s="1183" t="s">
        <v>97</v>
      </c>
      <c r="F24" s="1213">
        <f>AZ26+CC26</f>
        <v>0</v>
      </c>
      <c r="G24" s="1215" t="s">
        <v>6</v>
      </c>
      <c r="H24" s="82" t="s">
        <v>36</v>
      </c>
      <c r="I24" s="29">
        <f>IF($AA$1&gt;0,0,'医療分・支援・介護分（印刷））'!X28)</f>
        <v>0</v>
      </c>
      <c r="J24" s="30" t="s">
        <v>41</v>
      </c>
      <c r="K24" s="29">
        <f>IF($AA$1&gt;0,0,'医療分・支援・介護分（印刷））'!Z28)</f>
        <v>0</v>
      </c>
      <c r="L24" s="28" t="s">
        <v>36</v>
      </c>
      <c r="M24" s="29">
        <f>IF($AA$1&gt;0,0,'医療分・支援・介護分（印刷））'!X117)</f>
        <v>0</v>
      </c>
      <c r="N24" s="30" t="s">
        <v>41</v>
      </c>
      <c r="O24" s="29">
        <f>IF($AA$1&gt;0,0,'医療分・支援・介護分（印刷））'!Z117)</f>
        <v>0</v>
      </c>
      <c r="P24" s="28" t="s">
        <v>36</v>
      </c>
      <c r="Q24" s="29">
        <f>IF($AA$1&gt;0,0,'医療分・支援・介護分（印刷））'!X206)</f>
        <v>0</v>
      </c>
      <c r="R24" s="30" t="s">
        <v>41</v>
      </c>
      <c r="S24" s="29">
        <f>IF($AA$1&gt;0,0,'医療分・支援・介護分（印刷））'!Z206)</f>
        <v>0</v>
      </c>
      <c r="T24" s="264" t="s">
        <v>36</v>
      </c>
      <c r="U24" s="125">
        <f t="shared" si="10"/>
        <v>0</v>
      </c>
      <c r="V24" s="126" t="s">
        <v>41</v>
      </c>
      <c r="W24" s="127">
        <f>K24+O24+S24</f>
        <v>0</v>
      </c>
      <c r="AA24" s="56"/>
      <c r="AB24" s="12"/>
      <c r="AC24" s="1137"/>
      <c r="AD24" s="1138"/>
      <c r="AE24" s="50"/>
      <c r="AF24" s="12"/>
      <c r="AG24" s="28" t="s">
        <v>36</v>
      </c>
      <c r="AH24" s="29">
        <f>SUM(U22:U24)</f>
        <v>0</v>
      </c>
      <c r="AI24" s="30" t="s">
        <v>41</v>
      </c>
      <c r="AJ24" s="31">
        <f>U22+U23+U24+U25+U26+U27+W22+W23+W24</f>
        <v>0</v>
      </c>
      <c r="AK24" s="12"/>
      <c r="AL24" s="28" t="s">
        <v>36</v>
      </c>
      <c r="AM24" s="29">
        <f>IF($AC$6=$AH$8,AH24,0)</f>
        <v>0</v>
      </c>
      <c r="AN24" s="30" t="s">
        <v>41</v>
      </c>
      <c r="AO24" s="31">
        <f>IF($AC$6=$AJ$8,AJ24,0)</f>
        <v>0</v>
      </c>
      <c r="AP24" s="12"/>
      <c r="AQ24" s="12"/>
      <c r="AR24" s="12"/>
      <c r="AS24" s="28" t="s">
        <v>36</v>
      </c>
      <c r="AT24" s="29">
        <f t="shared" si="11"/>
        <v>0</v>
      </c>
      <c r="AU24" s="30" t="s">
        <v>41</v>
      </c>
      <c r="AV24" s="31">
        <f>AV16</f>
        <v>0</v>
      </c>
      <c r="AW24" s="12"/>
      <c r="AX24" s="28" t="s">
        <v>36</v>
      </c>
      <c r="AY24" s="29">
        <f t="shared" si="12"/>
        <v>0</v>
      </c>
      <c r="AZ24" s="30" t="s">
        <v>41</v>
      </c>
      <c r="BA24" s="31">
        <f>IF(AV24=1,AJ24,0)</f>
        <v>0</v>
      </c>
      <c r="BC24" s="12"/>
      <c r="BD24" s="56"/>
      <c r="BE24" s="12"/>
      <c r="BF24" s="1137"/>
      <c r="BG24" s="1138"/>
      <c r="BH24" s="50"/>
      <c r="BI24" s="12"/>
      <c r="BJ24" s="28" t="s">
        <v>36</v>
      </c>
      <c r="BK24" s="29">
        <f>U24+U25+U26+U27+W22+W23+W24+W25</f>
        <v>0</v>
      </c>
      <c r="BL24" s="30" t="s">
        <v>41</v>
      </c>
      <c r="BM24" s="31">
        <f>SUM(W24:W25)</f>
        <v>0</v>
      </c>
      <c r="BN24" s="12"/>
      <c r="BO24" s="28" t="s">
        <v>36</v>
      </c>
      <c r="BP24" s="29">
        <f>IF($BF$6=$BK$8,BK24,0)</f>
        <v>0</v>
      </c>
      <c r="BQ24" s="30" t="s">
        <v>41</v>
      </c>
      <c r="BR24" s="31">
        <f>IF($BF$6=$BM$8,BM24,0)</f>
        <v>0</v>
      </c>
      <c r="BS24" s="12"/>
      <c r="BT24" s="12"/>
      <c r="BU24" s="12"/>
      <c r="BV24" s="28" t="s">
        <v>36</v>
      </c>
      <c r="BW24" s="29">
        <f t="shared" si="13"/>
        <v>0</v>
      </c>
      <c r="BX24" s="30" t="s">
        <v>41</v>
      </c>
      <c r="BY24" s="31">
        <f>BY16</f>
        <v>0</v>
      </c>
      <c r="BZ24" s="12"/>
      <c r="CA24" s="28" t="s">
        <v>36</v>
      </c>
      <c r="CB24" s="29">
        <f t="shared" si="14"/>
        <v>0</v>
      </c>
      <c r="CC24" s="30" t="s">
        <v>41</v>
      </c>
      <c r="CD24" s="31">
        <f>IF(BY24=1,BM24,0)</f>
        <v>0</v>
      </c>
      <c r="CE24" s="13"/>
    </row>
    <row r="25" spans="1:83" ht="23.25" customHeight="1">
      <c r="A25" s="1188"/>
      <c r="B25" s="1189"/>
      <c r="C25" s="1189"/>
      <c r="D25" s="1190"/>
      <c r="E25" s="1184"/>
      <c r="F25" s="1214"/>
      <c r="G25" s="1215"/>
      <c r="H25" s="82" t="s">
        <v>43</v>
      </c>
      <c r="I25" s="29">
        <f>IF($AA$1&gt;0,0,'医療分・支援・介護分（印刷））'!X29)</f>
        <v>0</v>
      </c>
      <c r="J25" s="30" t="s">
        <v>42</v>
      </c>
      <c r="K25" s="29">
        <f>IF($AA$1&gt;0,0,'医療分・支援・介護分（印刷））'!Z29)</f>
        <v>0</v>
      </c>
      <c r="L25" s="28" t="s">
        <v>43</v>
      </c>
      <c r="M25" s="29">
        <f>IF($AA$1&gt;0,0,'医療分・支援・介護分（印刷））'!X118)</f>
        <v>0</v>
      </c>
      <c r="N25" s="30" t="s">
        <v>42</v>
      </c>
      <c r="O25" s="29">
        <f>IF($AA$1&gt;0,0,'医療分・支援・介護分（印刷））'!Z118)</f>
        <v>0</v>
      </c>
      <c r="P25" s="28" t="s">
        <v>43</v>
      </c>
      <c r="Q25" s="29">
        <f>IF($AA$1&gt;0,0,'医療分・支援・介護分（印刷））'!X207)</f>
        <v>0</v>
      </c>
      <c r="R25" s="30" t="s">
        <v>42</v>
      </c>
      <c r="S25" s="29">
        <f>IF($AA$1&gt;0,0,'医療分・支援・介護分（印刷））'!Z207)</f>
        <v>0</v>
      </c>
      <c r="T25" s="264" t="s">
        <v>43</v>
      </c>
      <c r="U25" s="125">
        <f t="shared" si="10"/>
        <v>0</v>
      </c>
      <c r="V25" s="265" t="s">
        <v>42</v>
      </c>
      <c r="W25" s="127">
        <f>K25+O25+S25</f>
        <v>0</v>
      </c>
      <c r="AA25" s="56"/>
      <c r="AB25" s="12"/>
      <c r="AC25" s="1145"/>
      <c r="AD25" s="1145"/>
      <c r="AE25" s="1145"/>
      <c r="AF25" s="12"/>
      <c r="AG25" s="28" t="s">
        <v>43</v>
      </c>
      <c r="AH25" s="29">
        <f>SUM(U22:U25)</f>
        <v>0</v>
      </c>
      <c r="AI25" s="133" t="s">
        <v>93</v>
      </c>
      <c r="AJ25" s="144">
        <f>U22+U23+U24+U25+U26+U27+W22+W23+W24+W25</f>
        <v>0</v>
      </c>
      <c r="AK25" s="12"/>
      <c r="AL25" s="28" t="s">
        <v>43</v>
      </c>
      <c r="AM25" s="29">
        <f>IF($AC$6=$AH$9,AH25,0)</f>
        <v>0</v>
      </c>
      <c r="AN25" s="133" t="s">
        <v>93</v>
      </c>
      <c r="AO25" s="31">
        <f>IF($AC$6=$AJ$9,AJ25,0)</f>
        <v>0</v>
      </c>
      <c r="AP25" s="12"/>
      <c r="AQ25" s="12"/>
      <c r="AR25" s="12"/>
      <c r="AS25" s="28" t="s">
        <v>43</v>
      </c>
      <c r="AT25" s="29">
        <f t="shared" si="11"/>
        <v>0</v>
      </c>
      <c r="AU25" s="133" t="s">
        <v>93</v>
      </c>
      <c r="AV25" s="31">
        <f>AV17</f>
        <v>0</v>
      </c>
      <c r="AW25" s="12"/>
      <c r="AX25" s="28" t="s">
        <v>43</v>
      </c>
      <c r="AY25" s="29">
        <f t="shared" si="12"/>
        <v>0</v>
      </c>
      <c r="AZ25" s="133" t="s">
        <v>93</v>
      </c>
      <c r="BA25" s="31">
        <f>IF(AV25=1,AJ25,0)</f>
        <v>0</v>
      </c>
      <c r="BC25" s="12"/>
      <c r="BD25" s="56"/>
      <c r="BE25" s="12"/>
      <c r="BF25" s="1145"/>
      <c r="BG25" s="1145"/>
      <c r="BH25" s="1145"/>
      <c r="BI25" s="12"/>
      <c r="BJ25" s="28" t="s">
        <v>43</v>
      </c>
      <c r="BK25" s="29">
        <f>U25+U26+U27+W22+W23+W24+W25</f>
        <v>0</v>
      </c>
      <c r="BL25" s="30" t="s">
        <v>42</v>
      </c>
      <c r="BM25" s="144">
        <f>W25</f>
        <v>0</v>
      </c>
      <c r="BN25" s="12"/>
      <c r="BO25" s="28" t="s">
        <v>43</v>
      </c>
      <c r="BP25" s="29">
        <f>IF($BF$6=$BK$9,BK25,0)</f>
        <v>0</v>
      </c>
      <c r="BQ25" s="133" t="s">
        <v>93</v>
      </c>
      <c r="BR25" s="31">
        <f>IF($BF$6=$BM$9,BM25,0)</f>
        <v>0</v>
      </c>
      <c r="BS25" s="12"/>
      <c r="BT25" s="12"/>
      <c r="BU25" s="12"/>
      <c r="BV25" s="28" t="s">
        <v>43</v>
      </c>
      <c r="BW25" s="29">
        <f t="shared" si="13"/>
        <v>0</v>
      </c>
      <c r="BX25" s="133" t="s">
        <v>93</v>
      </c>
      <c r="BY25" s="31">
        <f>BY17</f>
        <v>0</v>
      </c>
      <c r="BZ25" s="12"/>
      <c r="CA25" s="28" t="s">
        <v>43</v>
      </c>
      <c r="CB25" s="29">
        <f t="shared" si="14"/>
        <v>0</v>
      </c>
      <c r="CC25" s="133" t="s">
        <v>93</v>
      </c>
      <c r="CD25" s="31">
        <f>IF(BY25=1,BM25,0)</f>
        <v>0</v>
      </c>
      <c r="CE25" s="13"/>
    </row>
    <row r="26" spans="1:83" ht="23.25" customHeight="1">
      <c r="A26" s="1171">
        <f>IF((Q23+Q24+Q25+Q26+Q27+S22+S23+S24+S25)&lt;0,"介護該当者は①から順に入力してください｡",0)</f>
        <v>0</v>
      </c>
      <c r="B26" s="1172"/>
      <c r="C26" s="1172"/>
      <c r="D26" s="1173"/>
      <c r="E26" s="1177">
        <f>IF(AQ26=1,"＊入金額エラー＊",0)</f>
        <v>0</v>
      </c>
      <c r="F26" s="1178"/>
      <c r="G26" s="1179"/>
      <c r="H26" s="82" t="s">
        <v>37</v>
      </c>
      <c r="I26" s="29">
        <f>IF($AA$1&gt;0,0,'医療分・支援・介護分（印刷））'!X30)</f>
        <v>0</v>
      </c>
      <c r="J26" s="1199" t="s">
        <v>44</v>
      </c>
      <c r="K26" s="1203">
        <f>IF(AA1&gt;0,0,'医療分・支援・介護分（印刷））'!Z30)</f>
        <v>0</v>
      </c>
      <c r="L26" s="28" t="s">
        <v>37</v>
      </c>
      <c r="M26" s="29">
        <f>IF($AA$1&gt;0,0,'医療分・支援・介護分（印刷））'!X119)</f>
        <v>0</v>
      </c>
      <c r="N26" s="1199" t="s">
        <v>44</v>
      </c>
      <c r="O26" s="1201">
        <f>IF($AA$1&gt;0,0,'医療分・支援・介護分（印刷））'!Z119)</f>
        <v>0</v>
      </c>
      <c r="P26" s="28" t="s">
        <v>37</v>
      </c>
      <c r="Q26" s="29">
        <f>IF($AA$1&gt;0,0,'医療分・支援・介護分（印刷））'!X208)</f>
        <v>0</v>
      </c>
      <c r="R26" s="1199" t="s">
        <v>44</v>
      </c>
      <c r="S26" s="1201">
        <f>IF(AA1&gt;0,0,'医療分・支援・介護分（印刷））'!Z208)</f>
        <v>0</v>
      </c>
      <c r="T26" s="264" t="s">
        <v>37</v>
      </c>
      <c r="U26" s="125">
        <f t="shared" si="10"/>
        <v>0</v>
      </c>
      <c r="V26" s="1205" t="s">
        <v>44</v>
      </c>
      <c r="W26" s="1166">
        <f>K26+O26+S26</f>
        <v>0</v>
      </c>
      <c r="AA26" s="56"/>
      <c r="AB26" s="12"/>
      <c r="AC26" s="1137"/>
      <c r="AD26" s="1138"/>
      <c r="AE26" s="50"/>
      <c r="AF26" s="12"/>
      <c r="AG26" s="28" t="s">
        <v>37</v>
      </c>
      <c r="AH26" s="81">
        <f>SUM(U22:U26)</f>
        <v>0</v>
      </c>
      <c r="AI26" s="1139"/>
      <c r="AJ26" s="1141"/>
      <c r="AK26" s="12"/>
      <c r="AL26" s="28" t="s">
        <v>37</v>
      </c>
      <c r="AM26" s="29">
        <f>IF($AC$6=$AH$10,AH26,0)</f>
        <v>0</v>
      </c>
      <c r="AN26" s="1133">
        <f>AM22+AM23+AM24+AM25+AM26+AM27+AO22+AO23+AO24+AO25</f>
        <v>0</v>
      </c>
      <c r="AO26" s="1134"/>
      <c r="AP26" s="1143" t="str">
        <f>IF(AH22=0,"－",IF(AN26&lt;AC22,"エラー",0))</f>
        <v>－</v>
      </c>
      <c r="AQ26" s="1143">
        <f>IF(AP26="エラー",1,0)</f>
        <v>0</v>
      </c>
      <c r="AR26" s="12"/>
      <c r="AS26" s="28" t="s">
        <v>37</v>
      </c>
      <c r="AT26" s="29">
        <f t="shared" si="11"/>
        <v>0</v>
      </c>
      <c r="AU26" s="1133"/>
      <c r="AV26" s="1134"/>
      <c r="AW26" s="12"/>
      <c r="AX26" s="28" t="s">
        <v>37</v>
      </c>
      <c r="AY26" s="29">
        <f t="shared" si="12"/>
        <v>0</v>
      </c>
      <c r="AZ26" s="1133">
        <f>AY22+AY23+AY24+AY25+AY26+AY27+BA22+BA23+BA24+BA25</f>
        <v>0</v>
      </c>
      <c r="BA26" s="1134"/>
      <c r="BC26" s="12"/>
      <c r="BD26" s="56"/>
      <c r="BE26" s="12"/>
      <c r="BF26" s="1137"/>
      <c r="BG26" s="1138"/>
      <c r="BH26" s="50"/>
      <c r="BI26" s="12"/>
      <c r="BJ26" s="28" t="s">
        <v>37</v>
      </c>
      <c r="BK26" s="81">
        <f>U26+U27+W22+W23+W24+W25</f>
        <v>0</v>
      </c>
      <c r="BL26" s="1139"/>
      <c r="BM26" s="1141"/>
      <c r="BN26" s="12"/>
      <c r="BO26" s="28" t="s">
        <v>37</v>
      </c>
      <c r="BP26" s="29">
        <f>IF($BF$6=$BK$10,BK26,0)</f>
        <v>0</v>
      </c>
      <c r="BQ26" s="1133">
        <f>BP22+BP23+BP24+BP25+BP26+BP27+BR22+BR23+BR24+BR25</f>
        <v>0</v>
      </c>
      <c r="BR26" s="1134"/>
      <c r="BS26" s="1143" t="str">
        <f>IF(BK22=0,"－",IF(BQ26&lt;BF22,"エラー",0))</f>
        <v>－</v>
      </c>
      <c r="BT26" s="1143">
        <f>IF(BS26="エラー",1,0)</f>
        <v>0</v>
      </c>
      <c r="BU26" s="12"/>
      <c r="BV26" s="28" t="s">
        <v>37</v>
      </c>
      <c r="BW26" s="29">
        <f t="shared" si="13"/>
        <v>0</v>
      </c>
      <c r="BX26" s="1133"/>
      <c r="BY26" s="1134"/>
      <c r="BZ26" s="12"/>
      <c r="CA26" s="28" t="s">
        <v>37</v>
      </c>
      <c r="CB26" s="29">
        <f t="shared" si="14"/>
        <v>0</v>
      </c>
      <c r="CC26" s="1133">
        <f>CB22+CB23+CB24+CB25+CB26+CB27+CD22+CD23+CD24+CD25</f>
        <v>0</v>
      </c>
      <c r="CD26" s="1134"/>
      <c r="CE26" s="13"/>
    </row>
    <row r="27" spans="1:83" ht="23.25" customHeight="1">
      <c r="A27" s="1174"/>
      <c r="B27" s="1175"/>
      <c r="C27" s="1175"/>
      <c r="D27" s="1176"/>
      <c r="E27" s="1180"/>
      <c r="F27" s="1181"/>
      <c r="G27" s="1182"/>
      <c r="H27" s="128" t="s">
        <v>38</v>
      </c>
      <c r="I27" s="66">
        <f>IF($AA$1&gt;0,0,'医療分・支援・介護分（印刷））'!X31)</f>
        <v>0</v>
      </c>
      <c r="J27" s="1200"/>
      <c r="K27" s="1204"/>
      <c r="L27" s="65" t="s">
        <v>38</v>
      </c>
      <c r="M27" s="66">
        <f>IF($AA$1&gt;0,0,'医療分・支援・介護分（印刷））'!X120)</f>
        <v>0</v>
      </c>
      <c r="N27" s="1200"/>
      <c r="O27" s="1202"/>
      <c r="P27" s="65" t="s">
        <v>38</v>
      </c>
      <c r="Q27" s="66">
        <f>IF($AA$1&gt;0,0,'医療分・支援・介護分（印刷））'!X209)</f>
        <v>0</v>
      </c>
      <c r="R27" s="1200"/>
      <c r="S27" s="1202"/>
      <c r="T27" s="266" t="s">
        <v>38</v>
      </c>
      <c r="U27" s="129">
        <f t="shared" si="10"/>
        <v>0</v>
      </c>
      <c r="V27" s="1206"/>
      <c r="W27" s="1167"/>
      <c r="Y27" s="274" t="str">
        <f>IF(W26=0,"－",IF(F22=W26,"ＯＫ","エラー"))</f>
        <v>－</v>
      </c>
      <c r="AA27" s="56"/>
      <c r="AB27" s="12"/>
      <c r="AC27" s="12"/>
      <c r="AD27" s="12"/>
      <c r="AE27" s="12"/>
      <c r="AF27" s="12"/>
      <c r="AG27" s="65" t="s">
        <v>38</v>
      </c>
      <c r="AH27" s="132">
        <f>SUM(U22:U27)</f>
        <v>0</v>
      </c>
      <c r="AI27" s="1140"/>
      <c r="AJ27" s="1142"/>
      <c r="AK27" s="12"/>
      <c r="AL27" s="65" t="s">
        <v>38</v>
      </c>
      <c r="AM27" s="66">
        <f>IF($AC$6=$AH$11,AH27,0)</f>
        <v>0</v>
      </c>
      <c r="AN27" s="1135"/>
      <c r="AO27" s="1136"/>
      <c r="AP27" s="1144"/>
      <c r="AQ27" s="1144"/>
      <c r="AR27" s="12"/>
      <c r="AS27" s="65" t="s">
        <v>38</v>
      </c>
      <c r="AT27" s="66">
        <f t="shared" si="11"/>
        <v>0</v>
      </c>
      <c r="AU27" s="1135"/>
      <c r="AV27" s="1136"/>
      <c r="AW27" s="12"/>
      <c r="AX27" s="65" t="s">
        <v>38</v>
      </c>
      <c r="AY27" s="66">
        <f t="shared" si="12"/>
        <v>0</v>
      </c>
      <c r="AZ27" s="1135"/>
      <c r="BA27" s="1136"/>
      <c r="BC27" s="12"/>
      <c r="BD27" s="56"/>
      <c r="BE27" s="12"/>
      <c r="BF27" s="12"/>
      <c r="BG27" s="12"/>
      <c r="BH27" s="12"/>
      <c r="BI27" s="12"/>
      <c r="BJ27" s="65" t="s">
        <v>38</v>
      </c>
      <c r="BK27" s="132">
        <f>U27+W22+W23+W24+W25</f>
        <v>0</v>
      </c>
      <c r="BL27" s="1140"/>
      <c r="BM27" s="1142"/>
      <c r="BN27" s="12"/>
      <c r="BO27" s="65" t="s">
        <v>38</v>
      </c>
      <c r="BP27" s="66">
        <f>IF($BF$6=$BK$11,BK27,0)</f>
        <v>0</v>
      </c>
      <c r="BQ27" s="1135"/>
      <c r="BR27" s="1136"/>
      <c r="BS27" s="1144"/>
      <c r="BT27" s="1144"/>
      <c r="BU27" s="12"/>
      <c r="BV27" s="65" t="s">
        <v>38</v>
      </c>
      <c r="BW27" s="66">
        <f t="shared" si="13"/>
        <v>0</v>
      </c>
      <c r="BX27" s="1135"/>
      <c r="BY27" s="1136"/>
      <c r="BZ27" s="12"/>
      <c r="CA27" s="65" t="s">
        <v>38</v>
      </c>
      <c r="CB27" s="66">
        <f t="shared" si="14"/>
        <v>0</v>
      </c>
      <c r="CC27" s="1135"/>
      <c r="CD27" s="1136"/>
      <c r="CE27" s="13"/>
    </row>
    <row r="28" spans="1:83" ht="9.9499999999999993" customHeight="1">
      <c r="E28" s="68"/>
      <c r="F28" s="68"/>
      <c r="G28" s="18"/>
      <c r="AA28" s="56"/>
      <c r="AB28" s="12"/>
      <c r="AC28" s="12"/>
      <c r="AD28" s="12"/>
      <c r="AE28" s="12"/>
      <c r="AF28" s="12"/>
      <c r="AG28" s="4"/>
      <c r="AH28" s="4"/>
      <c r="AI28" s="4"/>
      <c r="AJ28" s="4"/>
      <c r="AK28" s="12"/>
      <c r="AL28" s="4"/>
      <c r="AM28" s="4"/>
      <c r="AN28" s="4"/>
      <c r="AO28" s="4"/>
      <c r="AP28" s="12"/>
      <c r="AQ28" s="12"/>
      <c r="AR28" s="12"/>
      <c r="AS28" s="4"/>
      <c r="AT28" s="4"/>
      <c r="AU28" s="4"/>
      <c r="AV28" s="4"/>
      <c r="AW28" s="12"/>
      <c r="AX28" s="4"/>
      <c r="AY28" s="4"/>
      <c r="AZ28" s="4"/>
      <c r="BA28" s="4"/>
      <c r="BC28" s="12"/>
      <c r="BD28" s="56"/>
      <c r="BE28" s="12"/>
      <c r="BF28" s="12"/>
      <c r="BG28" s="12"/>
      <c r="BH28" s="12"/>
      <c r="BI28" s="12"/>
      <c r="BJ28" s="4"/>
      <c r="BK28" s="4"/>
      <c r="BL28" s="4"/>
      <c r="BM28" s="4"/>
      <c r="BN28" s="12"/>
      <c r="BO28" s="4"/>
      <c r="BP28" s="4"/>
      <c r="BQ28" s="4"/>
      <c r="BR28" s="4"/>
      <c r="BS28" s="12"/>
      <c r="BT28" s="12"/>
      <c r="BU28" s="12"/>
      <c r="BV28" s="4"/>
      <c r="BW28" s="4"/>
      <c r="BX28" s="4"/>
      <c r="BY28" s="4"/>
      <c r="BZ28" s="12"/>
      <c r="CA28" s="4"/>
      <c r="CB28" s="4"/>
      <c r="CC28" s="4"/>
      <c r="CD28" s="4"/>
      <c r="CE28" s="13"/>
    </row>
    <row r="29" spans="1:83" ht="23.25" customHeight="1">
      <c r="A29" s="1197" t="s">
        <v>153</v>
      </c>
      <c r="B29" s="1194" t="s">
        <v>77</v>
      </c>
      <c r="C29" s="1194"/>
      <c r="D29" s="1194"/>
      <c r="E29" s="1216" t="s">
        <v>82</v>
      </c>
      <c r="F29" s="1217"/>
      <c r="G29" s="1218"/>
      <c r="H29" s="1164" t="s">
        <v>69</v>
      </c>
      <c r="I29" s="1164"/>
      <c r="J29" s="1164"/>
      <c r="K29" s="1164"/>
      <c r="L29" s="1163" t="s">
        <v>159</v>
      </c>
      <c r="M29" s="1164"/>
      <c r="N29" s="1164"/>
      <c r="O29" s="1165"/>
      <c r="P29" s="1163" t="s">
        <v>70</v>
      </c>
      <c r="Q29" s="1164"/>
      <c r="R29" s="1164"/>
      <c r="S29" s="1165"/>
      <c r="T29" s="1163" t="s">
        <v>76</v>
      </c>
      <c r="U29" s="1164"/>
      <c r="V29" s="1164"/>
      <c r="W29" s="1165"/>
      <c r="AA29" s="56"/>
      <c r="AB29" s="12"/>
      <c r="AC29" s="12"/>
      <c r="AD29" s="12"/>
      <c r="AE29" s="12"/>
      <c r="AF29" s="12"/>
      <c r="AG29" s="1146" t="s">
        <v>94</v>
      </c>
      <c r="AH29" s="1147"/>
      <c r="AI29" s="1147"/>
      <c r="AJ29" s="1148"/>
      <c r="AK29" s="12"/>
      <c r="AL29" s="1146" t="s">
        <v>95</v>
      </c>
      <c r="AM29" s="1147"/>
      <c r="AN29" s="1147"/>
      <c r="AO29" s="1148"/>
      <c r="AP29" s="12"/>
      <c r="AQ29" s="12"/>
      <c r="AR29" s="12"/>
      <c r="AS29" s="1146" t="s">
        <v>98</v>
      </c>
      <c r="AT29" s="1147"/>
      <c r="AU29" s="1147"/>
      <c r="AV29" s="1148"/>
      <c r="AW29" s="12"/>
      <c r="AX29" s="1146" t="s">
        <v>98</v>
      </c>
      <c r="AY29" s="1147"/>
      <c r="AZ29" s="1147"/>
      <c r="BA29" s="1148"/>
      <c r="BC29" s="12"/>
      <c r="BD29" s="56"/>
      <c r="BE29" s="12"/>
      <c r="BF29" s="12"/>
      <c r="BG29" s="12"/>
      <c r="BH29" s="12"/>
      <c r="BI29" s="12"/>
      <c r="BJ29" s="1146" t="s">
        <v>101</v>
      </c>
      <c r="BK29" s="1147"/>
      <c r="BL29" s="1147"/>
      <c r="BM29" s="1148"/>
      <c r="BN29" s="12"/>
      <c r="BO29" s="1146" t="s">
        <v>95</v>
      </c>
      <c r="BP29" s="1147"/>
      <c r="BQ29" s="1147"/>
      <c r="BR29" s="1148"/>
      <c r="BS29" s="12"/>
      <c r="BT29" s="12"/>
      <c r="BU29" s="12"/>
      <c r="BV29" s="1146" t="s">
        <v>98</v>
      </c>
      <c r="BW29" s="1147"/>
      <c r="BX29" s="1147"/>
      <c r="BY29" s="1148"/>
      <c r="BZ29" s="12"/>
      <c r="CA29" s="1146" t="s">
        <v>98</v>
      </c>
      <c r="CB29" s="1147"/>
      <c r="CC29" s="1147"/>
      <c r="CD29" s="1148"/>
      <c r="CE29" s="13"/>
    </row>
    <row r="30" spans="1:83" ht="23.25" customHeight="1">
      <c r="A30" s="1198"/>
      <c r="B30" s="1191">
        <f>入力画面!C22</f>
        <v>0</v>
      </c>
      <c r="C30" s="1186"/>
      <c r="D30" s="1195">
        <f>IF(F30&gt;0,"様",0)</f>
        <v>0</v>
      </c>
      <c r="E30" s="1207" t="s">
        <v>75</v>
      </c>
      <c r="F30" s="1209">
        <f>IF(AA1&gt;0,0,'医療分・支援・介護分（印刷））'!U40+'医療分・支援・介護分（印刷））'!U129+'医療分・支援・介護分（印刷））'!U218)</f>
        <v>0</v>
      </c>
      <c r="G30" s="1211" t="s">
        <v>6</v>
      </c>
      <c r="H30" s="82" t="s">
        <v>34</v>
      </c>
      <c r="I30" s="29">
        <f>IF($AA$1&gt;0,0,'医療分・支援・介護分（印刷））'!X36)</f>
        <v>0</v>
      </c>
      <c r="J30" s="30" t="s">
        <v>39</v>
      </c>
      <c r="K30" s="29">
        <f>IF($AA$1&gt;0,0,'医療分・支援・介護分（印刷））'!Z36)</f>
        <v>0</v>
      </c>
      <c r="L30" s="28" t="s">
        <v>34</v>
      </c>
      <c r="M30" s="29">
        <f>IF($AA$1&gt;0,0,'医療分・支援・介護分（印刷））'!X125)</f>
        <v>0</v>
      </c>
      <c r="N30" s="30" t="s">
        <v>39</v>
      </c>
      <c r="O30" s="31">
        <f>IF($AA$1&gt;0,0,'医療分・支援・介護分（印刷））'!Z125)</f>
        <v>0</v>
      </c>
      <c r="P30" s="28" t="s">
        <v>34</v>
      </c>
      <c r="Q30" s="29">
        <f>IF($AA$1&gt;0,0,'医療分・支援・介護分（印刷））'!X214)</f>
        <v>0</v>
      </c>
      <c r="R30" s="30" t="s">
        <v>39</v>
      </c>
      <c r="S30" s="29">
        <f>IF($AA$1&gt;0,0,'医療分・支援・介護分（印刷））'!Z214)</f>
        <v>0</v>
      </c>
      <c r="T30" s="260" t="s">
        <v>34</v>
      </c>
      <c r="U30" s="261">
        <f t="shared" ref="U30:U35" si="15">I30+M30+Q30</f>
        <v>0</v>
      </c>
      <c r="V30" s="262" t="s">
        <v>39</v>
      </c>
      <c r="W30" s="263">
        <f>K30+O30+S30</f>
        <v>0</v>
      </c>
      <c r="AA30" s="56"/>
      <c r="AB30" s="50"/>
      <c r="AC30" s="1149"/>
      <c r="AD30" s="1150"/>
      <c r="AE30" s="50"/>
      <c r="AF30" s="12"/>
      <c r="AG30" s="28" t="s">
        <v>34</v>
      </c>
      <c r="AH30" s="29">
        <f>U30</f>
        <v>0</v>
      </c>
      <c r="AI30" s="30" t="s">
        <v>39</v>
      </c>
      <c r="AJ30" s="31">
        <f>U30+U31+U32+U33+U34+U35+W30</f>
        <v>0</v>
      </c>
      <c r="AK30" s="12"/>
      <c r="AL30" s="28" t="s">
        <v>34</v>
      </c>
      <c r="AM30" s="29">
        <f>IF($AC$6=$AH$6,AH30,0)</f>
        <v>0</v>
      </c>
      <c r="AN30" s="30" t="s">
        <v>39</v>
      </c>
      <c r="AO30" s="31">
        <f>IF($AC$6=$AJ$6,AJ30,0)</f>
        <v>0</v>
      </c>
      <c r="AP30" s="12"/>
      <c r="AQ30" s="12"/>
      <c r="AR30" s="12"/>
      <c r="AS30" s="28" t="s">
        <v>34</v>
      </c>
      <c r="AT30" s="29">
        <f t="shared" ref="AT30:AT35" si="16">AT22</f>
        <v>0</v>
      </c>
      <c r="AU30" s="30" t="s">
        <v>39</v>
      </c>
      <c r="AV30" s="31">
        <f>AV22</f>
        <v>0</v>
      </c>
      <c r="AW30" s="12"/>
      <c r="AX30" s="28" t="s">
        <v>34</v>
      </c>
      <c r="AY30" s="29">
        <f t="shared" ref="AY30:AY35" si="17">IF(AT30=1,AH30,0)</f>
        <v>0</v>
      </c>
      <c r="AZ30" s="30" t="s">
        <v>39</v>
      </c>
      <c r="BA30" s="31">
        <f>IF(AV30=1,AJ30,0)</f>
        <v>0</v>
      </c>
      <c r="BC30" s="12"/>
      <c r="BD30" s="56"/>
      <c r="BE30" s="50"/>
      <c r="BF30" s="1149"/>
      <c r="BG30" s="1150"/>
      <c r="BH30" s="50"/>
      <c r="BI30" s="12"/>
      <c r="BJ30" s="28" t="s">
        <v>34</v>
      </c>
      <c r="BK30" s="29">
        <f>U30+U31+U32+U33+U34+U35+W30+W31+W32+W33</f>
        <v>0</v>
      </c>
      <c r="BL30" s="30" t="s">
        <v>39</v>
      </c>
      <c r="BM30" s="31">
        <f>SUM(W30:W33)</f>
        <v>0</v>
      </c>
      <c r="BN30" s="12"/>
      <c r="BO30" s="28" t="s">
        <v>34</v>
      </c>
      <c r="BP30" s="29">
        <f>IF($BF$6=$BK$6,BK30,0)</f>
        <v>0</v>
      </c>
      <c r="BQ30" s="30" t="s">
        <v>39</v>
      </c>
      <c r="BR30" s="31">
        <f>IF($BF$6=$BM$6,BM30,0)</f>
        <v>0</v>
      </c>
      <c r="BS30" s="12"/>
      <c r="BT30" s="12"/>
      <c r="BU30" s="12"/>
      <c r="BV30" s="28" t="s">
        <v>34</v>
      </c>
      <c r="BW30" s="29">
        <f t="shared" ref="BW30:BW35" si="18">BW22</f>
        <v>0</v>
      </c>
      <c r="BX30" s="30" t="s">
        <v>39</v>
      </c>
      <c r="BY30" s="31">
        <f>BY22</f>
        <v>0</v>
      </c>
      <c r="BZ30" s="12"/>
      <c r="CA30" s="28" t="s">
        <v>34</v>
      </c>
      <c r="CB30" s="29">
        <f t="shared" ref="CB30:CB35" si="19">IF(BW30=1,BK30,0)</f>
        <v>0</v>
      </c>
      <c r="CC30" s="30" t="s">
        <v>39</v>
      </c>
      <c r="CD30" s="31">
        <f>IF(BY30=1,BM30,0)</f>
        <v>0</v>
      </c>
      <c r="CE30" s="13"/>
    </row>
    <row r="31" spans="1:83" ht="23.25" customHeight="1">
      <c r="A31" s="1198"/>
      <c r="B31" s="1192"/>
      <c r="C31" s="1193"/>
      <c r="D31" s="1196"/>
      <c r="E31" s="1208"/>
      <c r="F31" s="1210"/>
      <c r="G31" s="1212"/>
      <c r="H31" s="82" t="s">
        <v>35</v>
      </c>
      <c r="I31" s="29">
        <f>IF($AA$1&gt;0,0,'医療分・支援・介護分（印刷））'!X37)</f>
        <v>0</v>
      </c>
      <c r="J31" s="30" t="s">
        <v>40</v>
      </c>
      <c r="K31" s="29">
        <f>IF($AA$1&gt;0,0,'医療分・支援・介護分（印刷））'!Z37)</f>
        <v>0</v>
      </c>
      <c r="L31" s="28" t="s">
        <v>35</v>
      </c>
      <c r="M31" s="29">
        <f>IF($AA$1&gt;0,0,'医療分・支援・介護分（印刷））'!X126)</f>
        <v>0</v>
      </c>
      <c r="N31" s="30" t="s">
        <v>40</v>
      </c>
      <c r="O31" s="31">
        <f>IF($AA$1&gt;0,0,'医療分・支援・介護分（印刷））'!Z126)</f>
        <v>0</v>
      </c>
      <c r="P31" s="28" t="s">
        <v>35</v>
      </c>
      <c r="Q31" s="29">
        <f>IF($AA$1&gt;0,0,'医療分・支援・介護分（印刷））'!X215)</f>
        <v>0</v>
      </c>
      <c r="R31" s="30" t="s">
        <v>40</v>
      </c>
      <c r="S31" s="29">
        <f>IF($AA$1&gt;0,0,'医療分・支援・介護分（印刷））'!Z215)</f>
        <v>0</v>
      </c>
      <c r="T31" s="264" t="s">
        <v>35</v>
      </c>
      <c r="U31" s="125">
        <f t="shared" si="15"/>
        <v>0</v>
      </c>
      <c r="V31" s="126" t="s">
        <v>40</v>
      </c>
      <c r="W31" s="127">
        <f>K31+O31+S31</f>
        <v>0</v>
      </c>
      <c r="AA31" s="56"/>
      <c r="AB31" s="12"/>
      <c r="AC31" s="1137"/>
      <c r="AD31" s="1138"/>
      <c r="AE31" s="50"/>
      <c r="AF31" s="12"/>
      <c r="AG31" s="28" t="s">
        <v>35</v>
      </c>
      <c r="AH31" s="29">
        <f>SUM(U30:U31)</f>
        <v>0</v>
      </c>
      <c r="AI31" s="30" t="s">
        <v>40</v>
      </c>
      <c r="AJ31" s="31">
        <f>U30+U31+U32+U33+U34+U35+W30+W31</f>
        <v>0</v>
      </c>
      <c r="AK31" s="12"/>
      <c r="AL31" s="28" t="s">
        <v>35</v>
      </c>
      <c r="AM31" s="29">
        <f>IF($AC$6=$AH$7,AH31,0)</f>
        <v>0</v>
      </c>
      <c r="AN31" s="30" t="s">
        <v>40</v>
      </c>
      <c r="AO31" s="31">
        <f>IF($AC$6=$AJ$7,AJ31,0)</f>
        <v>0</v>
      </c>
      <c r="AP31" s="12"/>
      <c r="AQ31" s="12"/>
      <c r="AR31" s="12"/>
      <c r="AS31" s="28" t="s">
        <v>35</v>
      </c>
      <c r="AT31" s="29">
        <f t="shared" si="16"/>
        <v>0</v>
      </c>
      <c r="AU31" s="30" t="s">
        <v>40</v>
      </c>
      <c r="AV31" s="31">
        <f>AV23</f>
        <v>0</v>
      </c>
      <c r="AW31" s="12"/>
      <c r="AX31" s="28" t="s">
        <v>35</v>
      </c>
      <c r="AY31" s="29">
        <f t="shared" si="17"/>
        <v>0</v>
      </c>
      <c r="AZ31" s="30" t="s">
        <v>40</v>
      </c>
      <c r="BA31" s="31">
        <f>IF(AV31=1,AJ31,0)</f>
        <v>0</v>
      </c>
      <c r="BC31" s="12"/>
      <c r="BD31" s="56"/>
      <c r="BE31" s="12"/>
      <c r="BF31" s="1137"/>
      <c r="BG31" s="1138"/>
      <c r="BH31" s="50"/>
      <c r="BI31" s="12"/>
      <c r="BJ31" s="28" t="s">
        <v>35</v>
      </c>
      <c r="BK31" s="29">
        <f>U31+U32+U33+U34+U35+W30+W31+W32+W33</f>
        <v>0</v>
      </c>
      <c r="BL31" s="30" t="s">
        <v>40</v>
      </c>
      <c r="BM31" s="31">
        <f>SUM(W31:W33)</f>
        <v>0</v>
      </c>
      <c r="BN31" s="12"/>
      <c r="BO31" s="28" t="s">
        <v>35</v>
      </c>
      <c r="BP31" s="29">
        <f>IF($BF$6=$BK$7,BK31,0)</f>
        <v>0</v>
      </c>
      <c r="BQ31" s="30" t="s">
        <v>40</v>
      </c>
      <c r="BR31" s="31">
        <f>IF($BF$6=$BM$7,BM31,0)</f>
        <v>0</v>
      </c>
      <c r="BS31" s="12"/>
      <c r="BT31" s="12"/>
      <c r="BU31" s="12"/>
      <c r="BV31" s="28" t="s">
        <v>35</v>
      </c>
      <c r="BW31" s="29">
        <f t="shared" si="18"/>
        <v>0</v>
      </c>
      <c r="BX31" s="30" t="s">
        <v>40</v>
      </c>
      <c r="BY31" s="31">
        <f>BY23</f>
        <v>0</v>
      </c>
      <c r="BZ31" s="12"/>
      <c r="CA31" s="28" t="s">
        <v>35</v>
      </c>
      <c r="CB31" s="29">
        <f t="shared" si="19"/>
        <v>0</v>
      </c>
      <c r="CC31" s="30" t="s">
        <v>40</v>
      </c>
      <c r="CD31" s="31">
        <f>IF(BY31=1,BM31,0)</f>
        <v>0</v>
      </c>
      <c r="CE31" s="13"/>
    </row>
    <row r="32" spans="1:83" ht="23.25" customHeight="1">
      <c r="A32" s="1185">
        <f>入力画面!$L$9</f>
        <v>0</v>
      </c>
      <c r="B32" s="1186"/>
      <c r="C32" s="1186"/>
      <c r="D32" s="1187"/>
      <c r="E32" s="1183" t="s">
        <v>97</v>
      </c>
      <c r="F32" s="1213">
        <f>AZ34+CC34</f>
        <v>0</v>
      </c>
      <c r="G32" s="1215" t="s">
        <v>6</v>
      </c>
      <c r="H32" s="82" t="s">
        <v>36</v>
      </c>
      <c r="I32" s="29">
        <f>IF($AA$1&gt;0,0,'医療分・支援・介護分（印刷））'!X38)</f>
        <v>0</v>
      </c>
      <c r="J32" s="30" t="s">
        <v>41</v>
      </c>
      <c r="K32" s="29">
        <f>IF($AA$1&gt;0,0,'医療分・支援・介護分（印刷））'!Z38)</f>
        <v>0</v>
      </c>
      <c r="L32" s="28" t="s">
        <v>36</v>
      </c>
      <c r="M32" s="29">
        <f>IF($AA$1&gt;0,0,'医療分・支援・介護分（印刷））'!X127)</f>
        <v>0</v>
      </c>
      <c r="N32" s="30" t="s">
        <v>41</v>
      </c>
      <c r="O32" s="31">
        <f>IF($AA$1&gt;0,0,'医療分・支援・介護分（印刷））'!Z127)</f>
        <v>0</v>
      </c>
      <c r="P32" s="28" t="s">
        <v>36</v>
      </c>
      <c r="Q32" s="29">
        <f>IF($AA$1&gt;0,0,'医療分・支援・介護分（印刷））'!X216)</f>
        <v>0</v>
      </c>
      <c r="R32" s="30" t="s">
        <v>41</v>
      </c>
      <c r="S32" s="29">
        <f>IF($AA$1&gt;0,0,'医療分・支援・介護分（印刷））'!Z216)</f>
        <v>0</v>
      </c>
      <c r="T32" s="264" t="s">
        <v>36</v>
      </c>
      <c r="U32" s="125">
        <f t="shared" si="15"/>
        <v>0</v>
      </c>
      <c r="V32" s="126" t="s">
        <v>41</v>
      </c>
      <c r="W32" s="127">
        <f>K32+O32+S32</f>
        <v>0</v>
      </c>
      <c r="AA32" s="56"/>
      <c r="AB32" s="12"/>
      <c r="AC32" s="1137"/>
      <c r="AD32" s="1138"/>
      <c r="AE32" s="50"/>
      <c r="AF32" s="12"/>
      <c r="AG32" s="28" t="s">
        <v>36</v>
      </c>
      <c r="AH32" s="29">
        <f>SUM(U30:U32)</f>
        <v>0</v>
      </c>
      <c r="AI32" s="30" t="s">
        <v>41</v>
      </c>
      <c r="AJ32" s="31">
        <f>U30+U31+U32+U33+U34+U35+W30+W31+W32</f>
        <v>0</v>
      </c>
      <c r="AK32" s="12"/>
      <c r="AL32" s="28" t="s">
        <v>36</v>
      </c>
      <c r="AM32" s="29">
        <f>IF($AC$6=$AH$8,AH32,0)</f>
        <v>0</v>
      </c>
      <c r="AN32" s="30" t="s">
        <v>41</v>
      </c>
      <c r="AO32" s="31">
        <f>IF($AC$6=$AJ$8,AJ32,0)</f>
        <v>0</v>
      </c>
      <c r="AP32" s="12"/>
      <c r="AQ32" s="12"/>
      <c r="AR32" s="12"/>
      <c r="AS32" s="28" t="s">
        <v>36</v>
      </c>
      <c r="AT32" s="29">
        <f t="shared" si="16"/>
        <v>0</v>
      </c>
      <c r="AU32" s="30" t="s">
        <v>41</v>
      </c>
      <c r="AV32" s="31">
        <f>AV24</f>
        <v>0</v>
      </c>
      <c r="AW32" s="12"/>
      <c r="AX32" s="28" t="s">
        <v>36</v>
      </c>
      <c r="AY32" s="29">
        <f t="shared" si="17"/>
        <v>0</v>
      </c>
      <c r="AZ32" s="30" t="s">
        <v>41</v>
      </c>
      <c r="BA32" s="31">
        <f>IF(AV32=1,AJ32,0)</f>
        <v>0</v>
      </c>
      <c r="BC32" s="12"/>
      <c r="BD32" s="56"/>
      <c r="BE32" s="12"/>
      <c r="BF32" s="1137"/>
      <c r="BG32" s="1138"/>
      <c r="BH32" s="50"/>
      <c r="BI32" s="12"/>
      <c r="BJ32" s="28" t="s">
        <v>36</v>
      </c>
      <c r="BK32" s="29">
        <f>U32+U33+U34+U35+W30+W31+W32+W33</f>
        <v>0</v>
      </c>
      <c r="BL32" s="30" t="s">
        <v>41</v>
      </c>
      <c r="BM32" s="31">
        <f>SUM(W32:W33)</f>
        <v>0</v>
      </c>
      <c r="BN32" s="12"/>
      <c r="BO32" s="28" t="s">
        <v>36</v>
      </c>
      <c r="BP32" s="29">
        <f>IF($BF$6=$BK$8,BK32,0)</f>
        <v>0</v>
      </c>
      <c r="BQ32" s="30" t="s">
        <v>41</v>
      </c>
      <c r="BR32" s="31">
        <f>IF($BF$6=$BM$8,BM32,0)</f>
        <v>0</v>
      </c>
      <c r="BS32" s="12"/>
      <c r="BT32" s="12"/>
      <c r="BU32" s="12"/>
      <c r="BV32" s="28" t="s">
        <v>36</v>
      </c>
      <c r="BW32" s="29">
        <f t="shared" si="18"/>
        <v>0</v>
      </c>
      <c r="BX32" s="30" t="s">
        <v>41</v>
      </c>
      <c r="BY32" s="31">
        <f>BY24</f>
        <v>0</v>
      </c>
      <c r="BZ32" s="12"/>
      <c r="CA32" s="28" t="s">
        <v>36</v>
      </c>
      <c r="CB32" s="29">
        <f t="shared" si="19"/>
        <v>0</v>
      </c>
      <c r="CC32" s="30" t="s">
        <v>41</v>
      </c>
      <c r="CD32" s="31">
        <f>IF(BY32=1,BM32,0)</f>
        <v>0</v>
      </c>
      <c r="CE32" s="13"/>
    </row>
    <row r="33" spans="1:83" ht="23.25" customHeight="1">
      <c r="A33" s="1188"/>
      <c r="B33" s="1189"/>
      <c r="C33" s="1189"/>
      <c r="D33" s="1190"/>
      <c r="E33" s="1184"/>
      <c r="F33" s="1214"/>
      <c r="G33" s="1215"/>
      <c r="H33" s="82" t="s">
        <v>43</v>
      </c>
      <c r="I33" s="29">
        <f>IF($AA$1&gt;0,0,'医療分・支援・介護分（印刷））'!X39)</f>
        <v>0</v>
      </c>
      <c r="J33" s="30" t="s">
        <v>42</v>
      </c>
      <c r="K33" s="29">
        <f>IF($AA$1&gt;0,0,'医療分・支援・介護分（印刷））'!Z39)</f>
        <v>0</v>
      </c>
      <c r="L33" s="28" t="s">
        <v>43</v>
      </c>
      <c r="M33" s="29">
        <f>IF($AA$1&gt;0,0,'医療分・支援・介護分（印刷））'!X128)</f>
        <v>0</v>
      </c>
      <c r="N33" s="30" t="s">
        <v>42</v>
      </c>
      <c r="O33" s="31">
        <f>IF($AA$1&gt;0,0,'医療分・支援・介護分（印刷））'!Z128)</f>
        <v>0</v>
      </c>
      <c r="P33" s="28" t="s">
        <v>43</v>
      </c>
      <c r="Q33" s="29">
        <f>IF($AA$1&gt;0,0,'医療分・支援・介護分（印刷））'!X217)</f>
        <v>0</v>
      </c>
      <c r="R33" s="30" t="s">
        <v>42</v>
      </c>
      <c r="S33" s="29">
        <f>IF($AA$1&gt;0,0,'医療分・支援・介護分（印刷））'!Z217)</f>
        <v>0</v>
      </c>
      <c r="T33" s="264" t="s">
        <v>43</v>
      </c>
      <c r="U33" s="125">
        <f t="shared" si="15"/>
        <v>0</v>
      </c>
      <c r="V33" s="265" t="s">
        <v>42</v>
      </c>
      <c r="W33" s="127">
        <f>K33+O33+S33</f>
        <v>0</v>
      </c>
      <c r="AA33" s="56"/>
      <c r="AB33" s="12"/>
      <c r="AC33" s="1145"/>
      <c r="AD33" s="1145"/>
      <c r="AE33" s="1145"/>
      <c r="AF33" s="12"/>
      <c r="AG33" s="28" t="s">
        <v>43</v>
      </c>
      <c r="AH33" s="29">
        <f>SUM(U30:U33)</f>
        <v>0</v>
      </c>
      <c r="AI33" s="133" t="s">
        <v>93</v>
      </c>
      <c r="AJ33" s="144">
        <f>U30+U31+U32+U33+U34+U35+W30+W31+W32+W33</f>
        <v>0</v>
      </c>
      <c r="AK33" s="12"/>
      <c r="AL33" s="28" t="s">
        <v>43</v>
      </c>
      <c r="AM33" s="29">
        <f>IF($AC$6=$AH$9,AH33,0)</f>
        <v>0</v>
      </c>
      <c r="AN33" s="133" t="s">
        <v>93</v>
      </c>
      <c r="AO33" s="31">
        <f>IF($AC$6=$AJ$9,AJ33,0)</f>
        <v>0</v>
      </c>
      <c r="AP33" s="12"/>
      <c r="AQ33" s="12"/>
      <c r="AR33" s="12"/>
      <c r="AS33" s="28" t="s">
        <v>43</v>
      </c>
      <c r="AT33" s="29">
        <f t="shared" si="16"/>
        <v>0</v>
      </c>
      <c r="AU33" s="133" t="s">
        <v>93</v>
      </c>
      <c r="AV33" s="31">
        <f>AV25</f>
        <v>0</v>
      </c>
      <c r="AW33" s="12"/>
      <c r="AX33" s="28" t="s">
        <v>43</v>
      </c>
      <c r="AY33" s="29">
        <f t="shared" si="17"/>
        <v>0</v>
      </c>
      <c r="AZ33" s="133" t="s">
        <v>93</v>
      </c>
      <c r="BA33" s="31">
        <f>IF(AV33=1,AJ33,0)</f>
        <v>0</v>
      </c>
      <c r="BC33" s="12"/>
      <c r="BD33" s="56"/>
      <c r="BE33" s="12"/>
      <c r="BF33" s="1145"/>
      <c r="BG33" s="1145"/>
      <c r="BH33" s="1145"/>
      <c r="BI33" s="12"/>
      <c r="BJ33" s="28" t="s">
        <v>43</v>
      </c>
      <c r="BK33" s="29">
        <f>U33+U34+U35+W30+W31+W32+W33</f>
        <v>0</v>
      </c>
      <c r="BL33" s="30" t="s">
        <v>42</v>
      </c>
      <c r="BM33" s="144">
        <f>W33</f>
        <v>0</v>
      </c>
      <c r="BN33" s="12"/>
      <c r="BO33" s="28" t="s">
        <v>43</v>
      </c>
      <c r="BP33" s="29">
        <f>IF($BF$6=$BK$9,BK33,0)</f>
        <v>0</v>
      </c>
      <c r="BQ33" s="133" t="s">
        <v>93</v>
      </c>
      <c r="BR33" s="31">
        <f>IF($BF$6=$BM$9,BM33,0)</f>
        <v>0</v>
      </c>
      <c r="BS33" s="12"/>
      <c r="BT33" s="12"/>
      <c r="BU33" s="12"/>
      <c r="BV33" s="28" t="s">
        <v>43</v>
      </c>
      <c r="BW33" s="29">
        <f t="shared" si="18"/>
        <v>0</v>
      </c>
      <c r="BX33" s="133" t="s">
        <v>93</v>
      </c>
      <c r="BY33" s="31">
        <f>BY25</f>
        <v>0</v>
      </c>
      <c r="BZ33" s="12"/>
      <c r="CA33" s="28" t="s">
        <v>43</v>
      </c>
      <c r="CB33" s="29">
        <f t="shared" si="19"/>
        <v>0</v>
      </c>
      <c r="CC33" s="133" t="s">
        <v>93</v>
      </c>
      <c r="CD33" s="31">
        <f>IF(BY33=1,BM33,0)</f>
        <v>0</v>
      </c>
      <c r="CE33" s="13"/>
    </row>
    <row r="34" spans="1:83" ht="23.25" customHeight="1">
      <c r="A34" s="1171">
        <f>IF((Q31+Q32+Q33+Q34+Q35+S30+S31+S32+S33)&lt;0,"介護該当者は①から順に入力してください｡",0)</f>
        <v>0</v>
      </c>
      <c r="B34" s="1172"/>
      <c r="C34" s="1172"/>
      <c r="D34" s="1173"/>
      <c r="E34" s="1177">
        <f>IF(AQ34=1,"＊入金額エラー＊",0)</f>
        <v>0</v>
      </c>
      <c r="F34" s="1178"/>
      <c r="G34" s="1179"/>
      <c r="H34" s="82" t="s">
        <v>37</v>
      </c>
      <c r="I34" s="29">
        <f>IF($AA$1&gt;0,0,'医療分・支援・介護分（印刷））'!X40)</f>
        <v>0</v>
      </c>
      <c r="J34" s="1199" t="s">
        <v>44</v>
      </c>
      <c r="K34" s="1203">
        <f>IF(AA1&gt;0,0,'医療分・支援・介護分（印刷））'!Z40)</f>
        <v>0</v>
      </c>
      <c r="L34" s="28" t="s">
        <v>37</v>
      </c>
      <c r="M34" s="29">
        <f>IF($AA$1&gt;0,0,'医療分・支援・介護分（印刷））'!X129)</f>
        <v>0</v>
      </c>
      <c r="N34" s="1199" t="s">
        <v>44</v>
      </c>
      <c r="O34" s="1201">
        <f>IF($AA$1&gt;0,0,'医療分・支援・介護分（印刷））'!Z129)</f>
        <v>0</v>
      </c>
      <c r="P34" s="28" t="s">
        <v>37</v>
      </c>
      <c r="Q34" s="29">
        <f>IF($AA$1&gt;0,0,'医療分・支援・介護分（印刷））'!X218)</f>
        <v>0</v>
      </c>
      <c r="R34" s="1199" t="s">
        <v>44</v>
      </c>
      <c r="S34" s="1201">
        <f>IF(AA1&gt;0,0,'医療分・支援・介護分（印刷））'!Z218)</f>
        <v>0</v>
      </c>
      <c r="T34" s="264" t="s">
        <v>37</v>
      </c>
      <c r="U34" s="125">
        <f t="shared" si="15"/>
        <v>0</v>
      </c>
      <c r="V34" s="1205" t="s">
        <v>44</v>
      </c>
      <c r="W34" s="1166">
        <f>K34+O34+S34</f>
        <v>0</v>
      </c>
      <c r="AA34" s="56"/>
      <c r="AB34" s="12"/>
      <c r="AC34" s="1137"/>
      <c r="AD34" s="1138"/>
      <c r="AE34" s="50"/>
      <c r="AF34" s="12"/>
      <c r="AG34" s="28" t="s">
        <v>37</v>
      </c>
      <c r="AH34" s="81">
        <f>SUM(U30:U34)</f>
        <v>0</v>
      </c>
      <c r="AI34" s="1139"/>
      <c r="AJ34" s="1141"/>
      <c r="AK34" s="12"/>
      <c r="AL34" s="28" t="s">
        <v>37</v>
      </c>
      <c r="AM34" s="29">
        <f>IF($AC$6=$AH$10,AH34,0)</f>
        <v>0</v>
      </c>
      <c r="AN34" s="1133">
        <f>AM30+AM31+AM32+AM33+AM34+AM35+AO30+AO31+AO32+AO33</f>
        <v>0</v>
      </c>
      <c r="AO34" s="1134"/>
      <c r="AP34" s="1143" t="str">
        <f>IF(AH30=0,"－",IF(AN34&lt;AC30,"エラー",0))</f>
        <v>－</v>
      </c>
      <c r="AQ34" s="1143">
        <f>IF(AP34="エラー",1,0)</f>
        <v>0</v>
      </c>
      <c r="AR34" s="12"/>
      <c r="AS34" s="28" t="s">
        <v>37</v>
      </c>
      <c r="AT34" s="29">
        <f t="shared" si="16"/>
        <v>0</v>
      </c>
      <c r="AU34" s="1133"/>
      <c r="AV34" s="1134"/>
      <c r="AW34" s="12"/>
      <c r="AX34" s="28" t="s">
        <v>37</v>
      </c>
      <c r="AY34" s="29">
        <f t="shared" si="17"/>
        <v>0</v>
      </c>
      <c r="AZ34" s="1133">
        <f>AY30+AY31+AY32+AY33+AY34+AY35+BA30+BA31+BA32+BA33</f>
        <v>0</v>
      </c>
      <c r="BA34" s="1134"/>
      <c r="BC34" s="12"/>
      <c r="BD34" s="56"/>
      <c r="BE34" s="12"/>
      <c r="BF34" s="1137"/>
      <c r="BG34" s="1138"/>
      <c r="BH34" s="50"/>
      <c r="BI34" s="12"/>
      <c r="BJ34" s="28" t="s">
        <v>37</v>
      </c>
      <c r="BK34" s="81">
        <f>U34+U35+W30+W31+W32+W33</f>
        <v>0</v>
      </c>
      <c r="BL34" s="1139"/>
      <c r="BM34" s="1141"/>
      <c r="BN34" s="12"/>
      <c r="BO34" s="28" t="s">
        <v>37</v>
      </c>
      <c r="BP34" s="29">
        <f>IF($BF$6=$BK$10,BK34,0)</f>
        <v>0</v>
      </c>
      <c r="BQ34" s="1133">
        <f>BP30+BP31+BP32+BP33+BP34+BP35+BR30+BR31+BR32+BR33</f>
        <v>0</v>
      </c>
      <c r="BR34" s="1134"/>
      <c r="BS34" s="1143" t="str">
        <f>IF(BK30=0,"－",IF(BQ34&lt;BF30,"エラー",0))</f>
        <v>－</v>
      </c>
      <c r="BT34" s="1143">
        <f>IF(BS34="エラー",1,0)</f>
        <v>0</v>
      </c>
      <c r="BU34" s="12"/>
      <c r="BV34" s="28" t="s">
        <v>37</v>
      </c>
      <c r="BW34" s="29">
        <f t="shared" si="18"/>
        <v>0</v>
      </c>
      <c r="BX34" s="1133"/>
      <c r="BY34" s="1134"/>
      <c r="BZ34" s="12"/>
      <c r="CA34" s="28" t="s">
        <v>37</v>
      </c>
      <c r="CB34" s="29">
        <f t="shared" si="19"/>
        <v>0</v>
      </c>
      <c r="CC34" s="1133">
        <f>CB30+CB31+CB32+CB33+CB34+CB35+CD30+CD31+CD32+CD33</f>
        <v>0</v>
      </c>
      <c r="CD34" s="1134"/>
      <c r="CE34" s="13"/>
    </row>
    <row r="35" spans="1:83" ht="23.25" customHeight="1">
      <c r="A35" s="1174"/>
      <c r="B35" s="1175"/>
      <c r="C35" s="1175"/>
      <c r="D35" s="1176"/>
      <c r="E35" s="1180"/>
      <c r="F35" s="1181"/>
      <c r="G35" s="1182"/>
      <c r="H35" s="128" t="s">
        <v>38</v>
      </c>
      <c r="I35" s="66">
        <f>IF($AA$1&gt;0,0,'医療分・支援・介護分（印刷））'!X41)</f>
        <v>0</v>
      </c>
      <c r="J35" s="1200"/>
      <c r="K35" s="1204"/>
      <c r="L35" s="65" t="s">
        <v>38</v>
      </c>
      <c r="M35" s="66">
        <f>IF($AA$1&gt;0,0,'医療分・支援・介護分（印刷））'!X130)</f>
        <v>0</v>
      </c>
      <c r="N35" s="1200"/>
      <c r="O35" s="1202"/>
      <c r="P35" s="65" t="s">
        <v>38</v>
      </c>
      <c r="Q35" s="66">
        <f>IF($AA$1&gt;0,0,'医療分・支援・介護分（印刷））'!X219)</f>
        <v>0</v>
      </c>
      <c r="R35" s="1200"/>
      <c r="S35" s="1202"/>
      <c r="T35" s="266" t="s">
        <v>38</v>
      </c>
      <c r="U35" s="129">
        <f t="shared" si="15"/>
        <v>0</v>
      </c>
      <c r="V35" s="1206"/>
      <c r="W35" s="1167"/>
      <c r="Y35" s="274" t="str">
        <f>IF(W34=0,"－",IF(F30=W34,"ＯＫ","エラー"))</f>
        <v>－</v>
      </c>
      <c r="AA35" s="56"/>
      <c r="AB35" s="12"/>
      <c r="AC35" s="12"/>
      <c r="AD35" s="12"/>
      <c r="AE35" s="12"/>
      <c r="AF35" s="12"/>
      <c r="AG35" s="65" t="s">
        <v>38</v>
      </c>
      <c r="AH35" s="132">
        <f>SUM(U30:U35)</f>
        <v>0</v>
      </c>
      <c r="AI35" s="1140"/>
      <c r="AJ35" s="1142"/>
      <c r="AK35" s="12"/>
      <c r="AL35" s="65" t="s">
        <v>38</v>
      </c>
      <c r="AM35" s="66">
        <f>IF($AC$6=$AH$11,AH35,0)</f>
        <v>0</v>
      </c>
      <c r="AN35" s="1135"/>
      <c r="AO35" s="1136"/>
      <c r="AP35" s="1144"/>
      <c r="AQ35" s="1144"/>
      <c r="AR35" s="12"/>
      <c r="AS35" s="65" t="s">
        <v>38</v>
      </c>
      <c r="AT35" s="66">
        <f t="shared" si="16"/>
        <v>0</v>
      </c>
      <c r="AU35" s="1135"/>
      <c r="AV35" s="1136"/>
      <c r="AW35" s="12"/>
      <c r="AX35" s="65" t="s">
        <v>38</v>
      </c>
      <c r="AY35" s="66">
        <f t="shared" si="17"/>
        <v>0</v>
      </c>
      <c r="AZ35" s="1135"/>
      <c r="BA35" s="1136"/>
      <c r="BC35" s="12"/>
      <c r="BD35" s="56"/>
      <c r="BE35" s="12"/>
      <c r="BF35" s="12"/>
      <c r="BG35" s="12"/>
      <c r="BH35" s="12"/>
      <c r="BI35" s="12"/>
      <c r="BJ35" s="65" t="s">
        <v>38</v>
      </c>
      <c r="BK35" s="132">
        <f>U35+W30+W31+W32+W33</f>
        <v>0</v>
      </c>
      <c r="BL35" s="1140"/>
      <c r="BM35" s="1142"/>
      <c r="BN35" s="12"/>
      <c r="BO35" s="65" t="s">
        <v>38</v>
      </c>
      <c r="BP35" s="66">
        <f>IF($BF$6=$BK$11,BK35,0)</f>
        <v>0</v>
      </c>
      <c r="BQ35" s="1135"/>
      <c r="BR35" s="1136"/>
      <c r="BS35" s="1144"/>
      <c r="BT35" s="1144"/>
      <c r="BU35" s="12"/>
      <c r="BV35" s="65" t="s">
        <v>38</v>
      </c>
      <c r="BW35" s="66">
        <f t="shared" si="18"/>
        <v>0</v>
      </c>
      <c r="BX35" s="1135"/>
      <c r="BY35" s="1136"/>
      <c r="BZ35" s="12"/>
      <c r="CA35" s="65" t="s">
        <v>38</v>
      </c>
      <c r="CB35" s="66">
        <f t="shared" si="19"/>
        <v>0</v>
      </c>
      <c r="CC35" s="1135"/>
      <c r="CD35" s="1136"/>
      <c r="CE35" s="13"/>
    </row>
    <row r="36" spans="1:83" ht="9.9499999999999993" customHeight="1">
      <c r="E36" s="68"/>
      <c r="F36" s="68"/>
      <c r="G36" s="18"/>
      <c r="AA36" s="56"/>
      <c r="AB36" s="12"/>
      <c r="AC36" s="12"/>
      <c r="AD36" s="12"/>
      <c r="AE36" s="12"/>
      <c r="AF36" s="12"/>
      <c r="AG36" s="4"/>
      <c r="AH36" s="4"/>
      <c r="AI36" s="4"/>
      <c r="AJ36" s="4"/>
      <c r="AK36" s="12"/>
      <c r="AL36" s="4"/>
      <c r="AM36" s="4"/>
      <c r="AN36" s="4"/>
      <c r="AO36" s="4"/>
      <c r="AP36" s="12"/>
      <c r="AQ36" s="12"/>
      <c r="AR36" s="12"/>
      <c r="AS36" s="4"/>
      <c r="AT36" s="4"/>
      <c r="AU36" s="4"/>
      <c r="AV36" s="4"/>
      <c r="AW36" s="12"/>
      <c r="AX36" s="4"/>
      <c r="AY36" s="4"/>
      <c r="AZ36" s="4"/>
      <c r="BA36" s="4"/>
      <c r="BC36" s="12"/>
      <c r="BD36" s="56"/>
      <c r="BE36" s="12"/>
      <c r="BF36" s="12"/>
      <c r="BG36" s="12"/>
      <c r="BH36" s="12"/>
      <c r="BI36" s="12"/>
      <c r="BJ36" s="4"/>
      <c r="BK36" s="4"/>
      <c r="BL36" s="4"/>
      <c r="BM36" s="4"/>
      <c r="BN36" s="12"/>
      <c r="BO36" s="4"/>
      <c r="BP36" s="4"/>
      <c r="BQ36" s="4"/>
      <c r="BR36" s="4"/>
      <c r="BS36" s="12"/>
      <c r="BT36" s="12"/>
      <c r="BU36" s="12"/>
      <c r="BV36" s="4"/>
      <c r="BW36" s="4"/>
      <c r="BX36" s="4"/>
      <c r="BY36" s="4"/>
      <c r="BZ36" s="12"/>
      <c r="CA36" s="4"/>
      <c r="CB36" s="4"/>
      <c r="CC36" s="4"/>
      <c r="CD36" s="4"/>
      <c r="CE36" s="13"/>
    </row>
    <row r="37" spans="1:83" ht="23.25" customHeight="1">
      <c r="A37" s="1197" t="s">
        <v>154</v>
      </c>
      <c r="B37" s="1194" t="s">
        <v>77</v>
      </c>
      <c r="C37" s="1194"/>
      <c r="D37" s="1194"/>
      <c r="E37" s="1216" t="s">
        <v>82</v>
      </c>
      <c r="F37" s="1217"/>
      <c r="G37" s="1218"/>
      <c r="H37" s="1164" t="s">
        <v>69</v>
      </c>
      <c r="I37" s="1164"/>
      <c r="J37" s="1164"/>
      <c r="K37" s="1164"/>
      <c r="L37" s="1163" t="s">
        <v>159</v>
      </c>
      <c r="M37" s="1164"/>
      <c r="N37" s="1164"/>
      <c r="O37" s="1165"/>
      <c r="P37" s="1163" t="s">
        <v>70</v>
      </c>
      <c r="Q37" s="1164"/>
      <c r="R37" s="1164"/>
      <c r="S37" s="1165"/>
      <c r="T37" s="1163" t="s">
        <v>76</v>
      </c>
      <c r="U37" s="1164"/>
      <c r="V37" s="1164"/>
      <c r="W37" s="1165"/>
      <c r="AA37" s="56"/>
      <c r="AB37" s="12"/>
      <c r="AC37" s="12"/>
      <c r="AD37" s="12"/>
      <c r="AE37" s="12"/>
      <c r="AF37" s="12"/>
      <c r="AG37" s="1146" t="s">
        <v>94</v>
      </c>
      <c r="AH37" s="1147"/>
      <c r="AI37" s="1147"/>
      <c r="AJ37" s="1148"/>
      <c r="AK37" s="12"/>
      <c r="AL37" s="1146" t="s">
        <v>95</v>
      </c>
      <c r="AM37" s="1147"/>
      <c r="AN37" s="1147"/>
      <c r="AO37" s="1148"/>
      <c r="AP37" s="12"/>
      <c r="AQ37" s="12"/>
      <c r="AR37" s="12"/>
      <c r="AS37" s="1146" t="s">
        <v>98</v>
      </c>
      <c r="AT37" s="1147"/>
      <c r="AU37" s="1147"/>
      <c r="AV37" s="1148"/>
      <c r="AW37" s="12"/>
      <c r="AX37" s="1146" t="s">
        <v>98</v>
      </c>
      <c r="AY37" s="1147"/>
      <c r="AZ37" s="1147"/>
      <c r="BA37" s="1148"/>
      <c r="BC37" s="12"/>
      <c r="BD37" s="56"/>
      <c r="BE37" s="12"/>
      <c r="BF37" s="12"/>
      <c r="BG37" s="12"/>
      <c r="BH37" s="12"/>
      <c r="BI37" s="12"/>
      <c r="BJ37" s="1146" t="s">
        <v>101</v>
      </c>
      <c r="BK37" s="1147"/>
      <c r="BL37" s="1147"/>
      <c r="BM37" s="1148"/>
      <c r="BN37" s="12"/>
      <c r="BO37" s="1146" t="s">
        <v>95</v>
      </c>
      <c r="BP37" s="1147"/>
      <c r="BQ37" s="1147"/>
      <c r="BR37" s="1148"/>
      <c r="BS37" s="12"/>
      <c r="BT37" s="12"/>
      <c r="BU37" s="12"/>
      <c r="BV37" s="1146" t="s">
        <v>98</v>
      </c>
      <c r="BW37" s="1147"/>
      <c r="BX37" s="1147"/>
      <c r="BY37" s="1148"/>
      <c r="BZ37" s="12"/>
      <c r="CA37" s="1146" t="s">
        <v>98</v>
      </c>
      <c r="CB37" s="1147"/>
      <c r="CC37" s="1147"/>
      <c r="CD37" s="1148"/>
      <c r="CE37" s="13"/>
    </row>
    <row r="38" spans="1:83" ht="23.25" customHeight="1">
      <c r="A38" s="1198"/>
      <c r="B38" s="1191">
        <f>入力画面!C27</f>
        <v>0</v>
      </c>
      <c r="C38" s="1186"/>
      <c r="D38" s="1195">
        <f>IF(F38&gt;0,"様",0)</f>
        <v>0</v>
      </c>
      <c r="E38" s="1207" t="s">
        <v>75</v>
      </c>
      <c r="F38" s="1209">
        <f>IF(AA1&gt;0,0,'医療分・支援・介護分（印刷））'!U50+'医療分・支援・介護分（印刷））'!U139+'医療分・支援・介護分（印刷））'!U228)</f>
        <v>0</v>
      </c>
      <c r="G38" s="1211" t="s">
        <v>6</v>
      </c>
      <c r="H38" s="82" t="s">
        <v>34</v>
      </c>
      <c r="I38" s="29">
        <f>IF($AA$1&gt;0,0,'医療分・支援・介護分（印刷））'!X46)</f>
        <v>0</v>
      </c>
      <c r="J38" s="30" t="s">
        <v>39</v>
      </c>
      <c r="K38" s="29">
        <f>IF($AA$1&gt;0,0,'医療分・支援・介護分（印刷））'!Z46)</f>
        <v>0</v>
      </c>
      <c r="L38" s="28" t="s">
        <v>34</v>
      </c>
      <c r="M38" s="29">
        <f>IF($AA$1&gt;0,0,'医療分・支援・介護分（印刷））'!X135)</f>
        <v>0</v>
      </c>
      <c r="N38" s="30" t="s">
        <v>39</v>
      </c>
      <c r="O38" s="31">
        <f>IF($AA$1&gt;0,0,'医療分・支援・介護分（印刷））'!Z135)</f>
        <v>0</v>
      </c>
      <c r="P38" s="28" t="s">
        <v>34</v>
      </c>
      <c r="Q38" s="29">
        <f>IF($AA$1&gt;0,0,'医療分・支援・介護分（印刷））'!X224)</f>
        <v>0</v>
      </c>
      <c r="R38" s="30" t="s">
        <v>39</v>
      </c>
      <c r="S38" s="29">
        <f>IF($AA$1&gt;0,0,'医療分・支援・介護分（印刷））'!Z224)</f>
        <v>0</v>
      </c>
      <c r="T38" s="260" t="s">
        <v>34</v>
      </c>
      <c r="U38" s="261">
        <f t="shared" ref="U38:U43" si="20">I38+M38+Q38</f>
        <v>0</v>
      </c>
      <c r="V38" s="262" t="s">
        <v>39</v>
      </c>
      <c r="W38" s="263">
        <f>K38+O38+S38</f>
        <v>0</v>
      </c>
      <c r="AA38" s="56"/>
      <c r="AB38" s="50"/>
      <c r="AC38" s="1149"/>
      <c r="AD38" s="1150"/>
      <c r="AE38" s="50"/>
      <c r="AF38" s="12"/>
      <c r="AG38" s="28" t="s">
        <v>34</v>
      </c>
      <c r="AH38" s="29">
        <f>U38</f>
        <v>0</v>
      </c>
      <c r="AI38" s="30" t="s">
        <v>39</v>
      </c>
      <c r="AJ38" s="31">
        <f>U38+U39+U40+U41+U42+U43+W38</f>
        <v>0</v>
      </c>
      <c r="AK38" s="12"/>
      <c r="AL38" s="28" t="s">
        <v>34</v>
      </c>
      <c r="AM38" s="29">
        <f>IF($AC$6=$AH$6,AH38,0)</f>
        <v>0</v>
      </c>
      <c r="AN38" s="30" t="s">
        <v>39</v>
      </c>
      <c r="AO38" s="31">
        <f>IF($AC$6=$AJ$6,AJ38,0)</f>
        <v>0</v>
      </c>
      <c r="AP38" s="12"/>
      <c r="AQ38" s="12"/>
      <c r="AR38" s="12"/>
      <c r="AS38" s="28" t="s">
        <v>34</v>
      </c>
      <c r="AT38" s="29">
        <f t="shared" ref="AT38:AT43" si="21">AT30</f>
        <v>0</v>
      </c>
      <c r="AU38" s="30" t="s">
        <v>39</v>
      </c>
      <c r="AV38" s="31">
        <f>AV30</f>
        <v>0</v>
      </c>
      <c r="AW38" s="12"/>
      <c r="AX38" s="28" t="s">
        <v>34</v>
      </c>
      <c r="AY38" s="29">
        <f t="shared" ref="AY38:AY43" si="22">IF(AT38=1,AH38,0)</f>
        <v>0</v>
      </c>
      <c r="AZ38" s="30" t="s">
        <v>39</v>
      </c>
      <c r="BA38" s="31">
        <f>IF(AV38=1,AJ38,0)</f>
        <v>0</v>
      </c>
      <c r="BC38" s="12"/>
      <c r="BD38" s="56"/>
      <c r="BE38" s="50"/>
      <c r="BF38" s="1149"/>
      <c r="BG38" s="1150"/>
      <c r="BH38" s="50"/>
      <c r="BI38" s="12"/>
      <c r="BJ38" s="28" t="s">
        <v>34</v>
      </c>
      <c r="BK38" s="29">
        <f>U38+U39+U40+U41+U42+U43+W38+W39+W40+W41</f>
        <v>0</v>
      </c>
      <c r="BL38" s="30" t="s">
        <v>39</v>
      </c>
      <c r="BM38" s="31">
        <f>SUM(W38:W41)</f>
        <v>0</v>
      </c>
      <c r="BN38" s="12"/>
      <c r="BO38" s="28" t="s">
        <v>34</v>
      </c>
      <c r="BP38" s="29">
        <f>IF($BF$6=$BK$6,BK38,0)</f>
        <v>0</v>
      </c>
      <c r="BQ38" s="30" t="s">
        <v>39</v>
      </c>
      <c r="BR38" s="31">
        <f>IF($BF$6=$BM$6,BM38,0)</f>
        <v>0</v>
      </c>
      <c r="BS38" s="12"/>
      <c r="BT38" s="12"/>
      <c r="BU38" s="12"/>
      <c r="BV38" s="28" t="s">
        <v>34</v>
      </c>
      <c r="BW38" s="29">
        <f t="shared" ref="BW38:BW43" si="23">BW30</f>
        <v>0</v>
      </c>
      <c r="BX38" s="30" t="s">
        <v>39</v>
      </c>
      <c r="BY38" s="31">
        <f>BY30</f>
        <v>0</v>
      </c>
      <c r="BZ38" s="12"/>
      <c r="CA38" s="28" t="s">
        <v>34</v>
      </c>
      <c r="CB38" s="29">
        <f t="shared" ref="CB38:CB43" si="24">IF(BW38=1,BK38,0)</f>
        <v>0</v>
      </c>
      <c r="CC38" s="30" t="s">
        <v>39</v>
      </c>
      <c r="CD38" s="31">
        <f>IF(BY38=1,BM38,0)</f>
        <v>0</v>
      </c>
      <c r="CE38" s="13"/>
    </row>
    <row r="39" spans="1:83" ht="23.25" customHeight="1">
      <c r="A39" s="1198"/>
      <c r="B39" s="1192"/>
      <c r="C39" s="1193"/>
      <c r="D39" s="1196"/>
      <c r="E39" s="1208"/>
      <c r="F39" s="1210"/>
      <c r="G39" s="1212"/>
      <c r="H39" s="82" t="s">
        <v>35</v>
      </c>
      <c r="I39" s="29">
        <f>IF($AA$1&gt;0,0,'医療分・支援・介護分（印刷））'!X47)</f>
        <v>0</v>
      </c>
      <c r="J39" s="30" t="s">
        <v>40</v>
      </c>
      <c r="K39" s="29">
        <f>IF($AA$1&gt;0,0,'医療分・支援・介護分（印刷））'!Z47)</f>
        <v>0</v>
      </c>
      <c r="L39" s="28" t="s">
        <v>35</v>
      </c>
      <c r="M39" s="29">
        <f>IF($AA$1&gt;0,0,'医療分・支援・介護分（印刷））'!X136)</f>
        <v>0</v>
      </c>
      <c r="N39" s="30" t="s">
        <v>40</v>
      </c>
      <c r="O39" s="31">
        <f>IF($AA$1&gt;0,0,'医療分・支援・介護分（印刷））'!Z136)</f>
        <v>0</v>
      </c>
      <c r="P39" s="28" t="s">
        <v>35</v>
      </c>
      <c r="Q39" s="29">
        <f>IF($AA$1&gt;0,0,'医療分・支援・介護分（印刷））'!X225)</f>
        <v>0</v>
      </c>
      <c r="R39" s="30" t="s">
        <v>40</v>
      </c>
      <c r="S39" s="29">
        <f>IF($AA$1&gt;0,0,'医療分・支援・介護分（印刷））'!Z225)</f>
        <v>0</v>
      </c>
      <c r="T39" s="264" t="s">
        <v>35</v>
      </c>
      <c r="U39" s="125">
        <f t="shared" si="20"/>
        <v>0</v>
      </c>
      <c r="V39" s="126" t="s">
        <v>40</v>
      </c>
      <c r="W39" s="127">
        <f>K39+O39+S39</f>
        <v>0</v>
      </c>
      <c r="AA39" s="56"/>
      <c r="AB39" s="12"/>
      <c r="AC39" s="1137"/>
      <c r="AD39" s="1138"/>
      <c r="AE39" s="50"/>
      <c r="AF39" s="12"/>
      <c r="AG39" s="28" t="s">
        <v>35</v>
      </c>
      <c r="AH39" s="29">
        <f>SUM(U38:U39)</f>
        <v>0</v>
      </c>
      <c r="AI39" s="30" t="s">
        <v>40</v>
      </c>
      <c r="AJ39" s="31">
        <f>U38+U39+U40+U41+U42+U43+W38+W39</f>
        <v>0</v>
      </c>
      <c r="AK39" s="12"/>
      <c r="AL39" s="28" t="s">
        <v>35</v>
      </c>
      <c r="AM39" s="29">
        <f>IF($AC$6=$AH$7,AH39,0)</f>
        <v>0</v>
      </c>
      <c r="AN39" s="30" t="s">
        <v>40</v>
      </c>
      <c r="AO39" s="31">
        <f>IF($AC$6=$AJ$7,AJ39,0)</f>
        <v>0</v>
      </c>
      <c r="AP39" s="12"/>
      <c r="AQ39" s="12"/>
      <c r="AR39" s="12"/>
      <c r="AS39" s="28" t="s">
        <v>35</v>
      </c>
      <c r="AT39" s="29">
        <f t="shared" si="21"/>
        <v>0</v>
      </c>
      <c r="AU39" s="30" t="s">
        <v>40</v>
      </c>
      <c r="AV39" s="31">
        <f>AV31</f>
        <v>0</v>
      </c>
      <c r="AW39" s="12"/>
      <c r="AX39" s="28" t="s">
        <v>35</v>
      </c>
      <c r="AY39" s="29">
        <f t="shared" si="22"/>
        <v>0</v>
      </c>
      <c r="AZ39" s="30" t="s">
        <v>40</v>
      </c>
      <c r="BA39" s="31">
        <f>IF(AV39=1,AJ39,0)</f>
        <v>0</v>
      </c>
      <c r="BC39" s="12"/>
      <c r="BD39" s="56"/>
      <c r="BE39" s="12"/>
      <c r="BF39" s="1137"/>
      <c r="BG39" s="1138"/>
      <c r="BH39" s="50"/>
      <c r="BI39" s="12"/>
      <c r="BJ39" s="28" t="s">
        <v>35</v>
      </c>
      <c r="BK39" s="29">
        <f>U39+U40+U41+U42+U43+W38+W39+W40+W41</f>
        <v>0</v>
      </c>
      <c r="BL39" s="30" t="s">
        <v>40</v>
      </c>
      <c r="BM39" s="31">
        <f>SUM(W39:W41)</f>
        <v>0</v>
      </c>
      <c r="BN39" s="12"/>
      <c r="BO39" s="28" t="s">
        <v>35</v>
      </c>
      <c r="BP39" s="29">
        <f>IF($BF$6=$BK$7,BK39,0)</f>
        <v>0</v>
      </c>
      <c r="BQ39" s="30" t="s">
        <v>40</v>
      </c>
      <c r="BR39" s="31">
        <f>IF($BF$6=$BM$7,BM39,0)</f>
        <v>0</v>
      </c>
      <c r="BS39" s="12"/>
      <c r="BT39" s="12"/>
      <c r="BU39" s="12"/>
      <c r="BV39" s="28" t="s">
        <v>35</v>
      </c>
      <c r="BW39" s="29">
        <f t="shared" si="23"/>
        <v>0</v>
      </c>
      <c r="BX39" s="30" t="s">
        <v>40</v>
      </c>
      <c r="BY39" s="31">
        <f>BY31</f>
        <v>0</v>
      </c>
      <c r="BZ39" s="12"/>
      <c r="CA39" s="28" t="s">
        <v>35</v>
      </c>
      <c r="CB39" s="29">
        <f t="shared" si="24"/>
        <v>0</v>
      </c>
      <c r="CC39" s="30" t="s">
        <v>40</v>
      </c>
      <c r="CD39" s="31">
        <f>IF(BY39=1,BM39,0)</f>
        <v>0</v>
      </c>
      <c r="CE39" s="13"/>
    </row>
    <row r="40" spans="1:83" ht="23.25" customHeight="1">
      <c r="A40" s="1185">
        <f>入力画面!$L$9</f>
        <v>0</v>
      </c>
      <c r="B40" s="1186"/>
      <c r="C40" s="1186"/>
      <c r="D40" s="1187"/>
      <c r="E40" s="1183" t="s">
        <v>97</v>
      </c>
      <c r="F40" s="1213">
        <f>AZ42+CC42</f>
        <v>0</v>
      </c>
      <c r="G40" s="1215" t="s">
        <v>6</v>
      </c>
      <c r="H40" s="82" t="s">
        <v>36</v>
      </c>
      <c r="I40" s="29">
        <f>IF($AA$1&gt;0,0,'医療分・支援・介護分（印刷））'!X48)</f>
        <v>0</v>
      </c>
      <c r="J40" s="30" t="s">
        <v>41</v>
      </c>
      <c r="K40" s="29">
        <f>IF($AA$1&gt;0,0,'医療分・支援・介護分（印刷））'!Z48)</f>
        <v>0</v>
      </c>
      <c r="L40" s="28" t="s">
        <v>36</v>
      </c>
      <c r="M40" s="29">
        <f>IF($AA$1&gt;0,0,'医療分・支援・介護分（印刷））'!X137)</f>
        <v>0</v>
      </c>
      <c r="N40" s="30" t="s">
        <v>41</v>
      </c>
      <c r="O40" s="31">
        <f>IF($AA$1&gt;0,0,'医療分・支援・介護分（印刷））'!Z137)</f>
        <v>0</v>
      </c>
      <c r="P40" s="28" t="s">
        <v>36</v>
      </c>
      <c r="Q40" s="29">
        <f>IF($AA$1&gt;0,0,'医療分・支援・介護分（印刷））'!X226)</f>
        <v>0</v>
      </c>
      <c r="R40" s="30" t="s">
        <v>41</v>
      </c>
      <c r="S40" s="29">
        <f>IF($AA$1&gt;0,0,'医療分・支援・介護分（印刷））'!Z226)</f>
        <v>0</v>
      </c>
      <c r="T40" s="264" t="s">
        <v>36</v>
      </c>
      <c r="U40" s="125">
        <f t="shared" si="20"/>
        <v>0</v>
      </c>
      <c r="V40" s="126" t="s">
        <v>41</v>
      </c>
      <c r="W40" s="127">
        <f>K40+O40+S40</f>
        <v>0</v>
      </c>
      <c r="AA40" s="56"/>
      <c r="AB40" s="12"/>
      <c r="AC40" s="1137"/>
      <c r="AD40" s="1138"/>
      <c r="AE40" s="50"/>
      <c r="AF40" s="12"/>
      <c r="AG40" s="28" t="s">
        <v>36</v>
      </c>
      <c r="AH40" s="29">
        <f>SUM(U38:U40)</f>
        <v>0</v>
      </c>
      <c r="AI40" s="30" t="s">
        <v>41</v>
      </c>
      <c r="AJ40" s="31">
        <f>U38+U39+U40+U41+U42+U43+W38+W39+W40</f>
        <v>0</v>
      </c>
      <c r="AK40" s="12"/>
      <c r="AL40" s="28" t="s">
        <v>36</v>
      </c>
      <c r="AM40" s="29">
        <f>IF($AC$6=$AH$8,AH40,0)</f>
        <v>0</v>
      </c>
      <c r="AN40" s="30" t="s">
        <v>41</v>
      </c>
      <c r="AO40" s="31">
        <f>IF($AC$6=$AJ$8,AJ40,0)</f>
        <v>0</v>
      </c>
      <c r="AP40" s="12"/>
      <c r="AQ40" s="12"/>
      <c r="AR40" s="12"/>
      <c r="AS40" s="28" t="s">
        <v>36</v>
      </c>
      <c r="AT40" s="29">
        <f t="shared" si="21"/>
        <v>0</v>
      </c>
      <c r="AU40" s="30" t="s">
        <v>41</v>
      </c>
      <c r="AV40" s="31">
        <f>AV32</f>
        <v>0</v>
      </c>
      <c r="AW40" s="12"/>
      <c r="AX40" s="28" t="s">
        <v>36</v>
      </c>
      <c r="AY40" s="29">
        <f t="shared" si="22"/>
        <v>0</v>
      </c>
      <c r="AZ40" s="30" t="s">
        <v>41</v>
      </c>
      <c r="BA40" s="31">
        <f>IF(AV40=1,AJ40,0)</f>
        <v>0</v>
      </c>
      <c r="BC40" s="12"/>
      <c r="BD40" s="56"/>
      <c r="BE40" s="12"/>
      <c r="BF40" s="1137"/>
      <c r="BG40" s="1138"/>
      <c r="BH40" s="50"/>
      <c r="BI40" s="12"/>
      <c r="BJ40" s="28" t="s">
        <v>36</v>
      </c>
      <c r="BK40" s="29">
        <f>U40+U41+U42+U43+W38+W39+W40+W41</f>
        <v>0</v>
      </c>
      <c r="BL40" s="30" t="s">
        <v>41</v>
      </c>
      <c r="BM40" s="31">
        <f>SUM(W40:W41)</f>
        <v>0</v>
      </c>
      <c r="BN40" s="12"/>
      <c r="BO40" s="28" t="s">
        <v>36</v>
      </c>
      <c r="BP40" s="29">
        <f>IF($BF$6=$BK$8,BK40,0)</f>
        <v>0</v>
      </c>
      <c r="BQ40" s="30" t="s">
        <v>41</v>
      </c>
      <c r="BR40" s="31">
        <f>IF($BF$6=$BM$8,BM40,0)</f>
        <v>0</v>
      </c>
      <c r="BS40" s="12"/>
      <c r="BT40" s="12"/>
      <c r="BU40" s="12"/>
      <c r="BV40" s="28" t="s">
        <v>36</v>
      </c>
      <c r="BW40" s="29">
        <f t="shared" si="23"/>
        <v>0</v>
      </c>
      <c r="BX40" s="30" t="s">
        <v>41</v>
      </c>
      <c r="BY40" s="31">
        <f>BY32</f>
        <v>0</v>
      </c>
      <c r="BZ40" s="12"/>
      <c r="CA40" s="28" t="s">
        <v>36</v>
      </c>
      <c r="CB40" s="29">
        <f t="shared" si="24"/>
        <v>0</v>
      </c>
      <c r="CC40" s="30" t="s">
        <v>41</v>
      </c>
      <c r="CD40" s="31">
        <f>IF(BY40=1,BM40,0)</f>
        <v>0</v>
      </c>
      <c r="CE40" s="13"/>
    </row>
    <row r="41" spans="1:83" ht="23.25" customHeight="1">
      <c r="A41" s="1188"/>
      <c r="B41" s="1189"/>
      <c r="C41" s="1189"/>
      <c r="D41" s="1190"/>
      <c r="E41" s="1184"/>
      <c r="F41" s="1214"/>
      <c r="G41" s="1215"/>
      <c r="H41" s="82" t="s">
        <v>43</v>
      </c>
      <c r="I41" s="29">
        <f>IF($AA$1&gt;0,0,'医療分・支援・介護分（印刷））'!X49)</f>
        <v>0</v>
      </c>
      <c r="J41" s="30" t="s">
        <v>42</v>
      </c>
      <c r="K41" s="29">
        <f>IF($AA$1&gt;0,0,'医療分・支援・介護分（印刷））'!Z49)</f>
        <v>0</v>
      </c>
      <c r="L41" s="28" t="s">
        <v>43</v>
      </c>
      <c r="M41" s="29">
        <f>IF($AA$1&gt;0,0,'医療分・支援・介護分（印刷））'!X138)</f>
        <v>0</v>
      </c>
      <c r="N41" s="30" t="s">
        <v>42</v>
      </c>
      <c r="O41" s="31">
        <f>IF($AA$1&gt;0,0,'医療分・支援・介護分（印刷））'!Z138)</f>
        <v>0</v>
      </c>
      <c r="P41" s="28" t="s">
        <v>43</v>
      </c>
      <c r="Q41" s="29">
        <f>IF($AA$1&gt;0,0,'医療分・支援・介護分（印刷））'!X227)</f>
        <v>0</v>
      </c>
      <c r="R41" s="30" t="s">
        <v>42</v>
      </c>
      <c r="S41" s="29">
        <f>IF($AA$1&gt;0,0,'医療分・支援・介護分（印刷））'!Z227)</f>
        <v>0</v>
      </c>
      <c r="T41" s="264" t="s">
        <v>43</v>
      </c>
      <c r="U41" s="125">
        <f t="shared" si="20"/>
        <v>0</v>
      </c>
      <c r="V41" s="265" t="s">
        <v>42</v>
      </c>
      <c r="W41" s="127">
        <f>K41+O41+S41</f>
        <v>0</v>
      </c>
      <c r="AA41" s="56"/>
      <c r="AB41" s="12"/>
      <c r="AC41" s="1145"/>
      <c r="AD41" s="1145"/>
      <c r="AE41" s="1145"/>
      <c r="AF41" s="12"/>
      <c r="AG41" s="28" t="s">
        <v>43</v>
      </c>
      <c r="AH41" s="29">
        <f>SUM(U38:U41)</f>
        <v>0</v>
      </c>
      <c r="AI41" s="133" t="s">
        <v>93</v>
      </c>
      <c r="AJ41" s="144">
        <f>U38+U39+U40+U41+U42+U43+W38+W39+W40+W41</f>
        <v>0</v>
      </c>
      <c r="AK41" s="12"/>
      <c r="AL41" s="28" t="s">
        <v>43</v>
      </c>
      <c r="AM41" s="29">
        <f>IF($AC$6=$AH$9,AH41,0)</f>
        <v>0</v>
      </c>
      <c r="AN41" s="133" t="s">
        <v>93</v>
      </c>
      <c r="AO41" s="31">
        <f>IF($AC$6=$AJ$9,AJ41,0)</f>
        <v>0</v>
      </c>
      <c r="AP41" s="12"/>
      <c r="AQ41" s="12"/>
      <c r="AR41" s="12"/>
      <c r="AS41" s="28" t="s">
        <v>43</v>
      </c>
      <c r="AT41" s="29">
        <f t="shared" si="21"/>
        <v>0</v>
      </c>
      <c r="AU41" s="133" t="s">
        <v>93</v>
      </c>
      <c r="AV41" s="31">
        <f>AV33</f>
        <v>0</v>
      </c>
      <c r="AW41" s="12"/>
      <c r="AX41" s="28" t="s">
        <v>43</v>
      </c>
      <c r="AY41" s="29">
        <f t="shared" si="22"/>
        <v>0</v>
      </c>
      <c r="AZ41" s="133" t="s">
        <v>93</v>
      </c>
      <c r="BA41" s="31">
        <f>IF(AV41=1,AJ41,0)</f>
        <v>0</v>
      </c>
      <c r="BC41" s="12"/>
      <c r="BD41" s="56"/>
      <c r="BE41" s="12"/>
      <c r="BF41" s="1145"/>
      <c r="BG41" s="1145"/>
      <c r="BH41" s="1145"/>
      <c r="BI41" s="12"/>
      <c r="BJ41" s="28" t="s">
        <v>43</v>
      </c>
      <c r="BK41" s="29">
        <f>U41+U42+U43+W38+W39+W40+W41</f>
        <v>0</v>
      </c>
      <c r="BL41" s="30" t="s">
        <v>42</v>
      </c>
      <c r="BM41" s="144">
        <f>W41</f>
        <v>0</v>
      </c>
      <c r="BN41" s="12"/>
      <c r="BO41" s="28" t="s">
        <v>43</v>
      </c>
      <c r="BP41" s="29">
        <f>IF($BF$6=$BK$9,BK41,0)</f>
        <v>0</v>
      </c>
      <c r="BQ41" s="133" t="s">
        <v>93</v>
      </c>
      <c r="BR41" s="31">
        <f>IF($BF$6=$BM$9,BM41,0)</f>
        <v>0</v>
      </c>
      <c r="BS41" s="12"/>
      <c r="BT41" s="12"/>
      <c r="BU41" s="12"/>
      <c r="BV41" s="28" t="s">
        <v>43</v>
      </c>
      <c r="BW41" s="29">
        <f t="shared" si="23"/>
        <v>0</v>
      </c>
      <c r="BX41" s="133" t="s">
        <v>93</v>
      </c>
      <c r="BY41" s="31">
        <f>BY33</f>
        <v>0</v>
      </c>
      <c r="BZ41" s="12"/>
      <c r="CA41" s="28" t="s">
        <v>43</v>
      </c>
      <c r="CB41" s="29">
        <f t="shared" si="24"/>
        <v>0</v>
      </c>
      <c r="CC41" s="133" t="s">
        <v>93</v>
      </c>
      <c r="CD41" s="31">
        <f>IF(BY41=1,BM41,0)</f>
        <v>0</v>
      </c>
      <c r="CE41" s="13"/>
    </row>
    <row r="42" spans="1:83" ht="23.25" customHeight="1">
      <c r="A42" s="1171">
        <f>IF((Q39+Q40+Q41+Q42+Q43+S38+S39+S40+S41)&lt;0,"介護該当者は①から順に入力してください｡",0)</f>
        <v>0</v>
      </c>
      <c r="B42" s="1172"/>
      <c r="C42" s="1172"/>
      <c r="D42" s="1173"/>
      <c r="E42" s="1177">
        <f>IF(AQ42=1,"＊入金額エラー＊",0)</f>
        <v>0</v>
      </c>
      <c r="F42" s="1178"/>
      <c r="G42" s="1179"/>
      <c r="H42" s="82" t="s">
        <v>37</v>
      </c>
      <c r="I42" s="29">
        <f>IF($AA$1&gt;0,0,'医療分・支援・介護分（印刷））'!X50)</f>
        <v>0</v>
      </c>
      <c r="J42" s="1199" t="s">
        <v>44</v>
      </c>
      <c r="K42" s="1203">
        <f>IF(AA1&gt;0,0,'医療分・支援・介護分（印刷））'!Z50)</f>
        <v>0</v>
      </c>
      <c r="L42" s="28" t="s">
        <v>37</v>
      </c>
      <c r="M42" s="29">
        <f>IF($AA$1&gt;0,0,'医療分・支援・介護分（印刷））'!X139)</f>
        <v>0</v>
      </c>
      <c r="N42" s="1199" t="s">
        <v>44</v>
      </c>
      <c r="O42" s="1201">
        <f>IF($AA$1&gt;0,0,'医療分・支援・介護分（印刷））'!Z139)</f>
        <v>0</v>
      </c>
      <c r="P42" s="28" t="s">
        <v>37</v>
      </c>
      <c r="Q42" s="29">
        <f>IF($AA$1&gt;0,0,'医療分・支援・介護分（印刷））'!X228)</f>
        <v>0</v>
      </c>
      <c r="R42" s="1199" t="s">
        <v>44</v>
      </c>
      <c r="S42" s="1201">
        <f>IF(AA1&gt;0,0,'医療分・支援・介護分（印刷））'!Z228)</f>
        <v>0</v>
      </c>
      <c r="T42" s="264" t="s">
        <v>37</v>
      </c>
      <c r="U42" s="125">
        <f t="shared" si="20"/>
        <v>0</v>
      </c>
      <c r="V42" s="1205" t="s">
        <v>44</v>
      </c>
      <c r="W42" s="1166">
        <f>K42+O42+S42</f>
        <v>0</v>
      </c>
      <c r="AA42" s="56"/>
      <c r="AB42" s="12"/>
      <c r="AC42" s="1137"/>
      <c r="AD42" s="1138"/>
      <c r="AE42" s="50"/>
      <c r="AF42" s="12"/>
      <c r="AG42" s="28" t="s">
        <v>37</v>
      </c>
      <c r="AH42" s="81">
        <f>SUM(U38:U42)</f>
        <v>0</v>
      </c>
      <c r="AI42" s="1139"/>
      <c r="AJ42" s="1141"/>
      <c r="AK42" s="12"/>
      <c r="AL42" s="28" t="s">
        <v>37</v>
      </c>
      <c r="AM42" s="29">
        <f>IF($AC$6=$AH$10,AH42,0)</f>
        <v>0</v>
      </c>
      <c r="AN42" s="1133">
        <f>AM38+AM39+AM40+AM41+AM42+AM43+AO38+AO39+AO40+AO41</f>
        <v>0</v>
      </c>
      <c r="AO42" s="1134"/>
      <c r="AP42" s="1143" t="str">
        <f>IF(AH38=0,"－",IF(AN42&lt;AC38,"エラー",0))</f>
        <v>－</v>
      </c>
      <c r="AQ42" s="1143">
        <f>IF(AP42="エラー",1,0)</f>
        <v>0</v>
      </c>
      <c r="AR42" s="12"/>
      <c r="AS42" s="28" t="s">
        <v>37</v>
      </c>
      <c r="AT42" s="29">
        <f t="shared" si="21"/>
        <v>0</v>
      </c>
      <c r="AU42" s="1133"/>
      <c r="AV42" s="1134"/>
      <c r="AW42" s="12"/>
      <c r="AX42" s="28" t="s">
        <v>37</v>
      </c>
      <c r="AY42" s="29">
        <f t="shared" si="22"/>
        <v>0</v>
      </c>
      <c r="AZ42" s="1133">
        <f>AY38+AY39+AY40+AY41+AY42+AY43+BA38+BA39+BA40+BA41</f>
        <v>0</v>
      </c>
      <c r="BA42" s="1134"/>
      <c r="BC42" s="12"/>
      <c r="BD42" s="56"/>
      <c r="BE42" s="12"/>
      <c r="BF42" s="1137"/>
      <c r="BG42" s="1138"/>
      <c r="BH42" s="50"/>
      <c r="BI42" s="12"/>
      <c r="BJ42" s="28" t="s">
        <v>37</v>
      </c>
      <c r="BK42" s="81">
        <f>U42+U43+W38+W39+W40+W41</f>
        <v>0</v>
      </c>
      <c r="BL42" s="1139"/>
      <c r="BM42" s="1141"/>
      <c r="BN42" s="12"/>
      <c r="BO42" s="28" t="s">
        <v>37</v>
      </c>
      <c r="BP42" s="29">
        <f>IF($BF$6=$BK$10,BK42,0)</f>
        <v>0</v>
      </c>
      <c r="BQ42" s="1133">
        <f>BP38+BP39+BP40+BP41+BP42+BP43+BR38+BR39+BR40+BR41</f>
        <v>0</v>
      </c>
      <c r="BR42" s="1134"/>
      <c r="BS42" s="1143" t="str">
        <f>IF(BK38=0,"－",IF(BQ42&lt;BF38,"エラー",0))</f>
        <v>－</v>
      </c>
      <c r="BT42" s="1143">
        <f>IF(BS42="エラー",1,0)</f>
        <v>0</v>
      </c>
      <c r="BU42" s="12"/>
      <c r="BV42" s="28" t="s">
        <v>37</v>
      </c>
      <c r="BW42" s="29">
        <f t="shared" si="23"/>
        <v>0</v>
      </c>
      <c r="BX42" s="1133"/>
      <c r="BY42" s="1134"/>
      <c r="BZ42" s="12"/>
      <c r="CA42" s="28" t="s">
        <v>37</v>
      </c>
      <c r="CB42" s="29">
        <f t="shared" si="24"/>
        <v>0</v>
      </c>
      <c r="CC42" s="1133">
        <f>CB38+CB39+CB40+CB41+CB42+CB43+CD38+CD39+CD40+CD41</f>
        <v>0</v>
      </c>
      <c r="CD42" s="1134"/>
      <c r="CE42" s="13"/>
    </row>
    <row r="43" spans="1:83" ht="23.25" customHeight="1">
      <c r="A43" s="1174"/>
      <c r="B43" s="1175"/>
      <c r="C43" s="1175"/>
      <c r="D43" s="1176"/>
      <c r="E43" s="1180"/>
      <c r="F43" s="1181"/>
      <c r="G43" s="1182"/>
      <c r="H43" s="128" t="s">
        <v>38</v>
      </c>
      <c r="I43" s="66">
        <f>IF($AA$1&gt;0,0,'医療分・支援・介護分（印刷））'!X51)</f>
        <v>0</v>
      </c>
      <c r="J43" s="1200"/>
      <c r="K43" s="1204"/>
      <c r="L43" s="65" t="s">
        <v>38</v>
      </c>
      <c r="M43" s="66">
        <f>IF($AA$1&gt;0,0,'医療分・支援・介護分（印刷））'!X140)</f>
        <v>0</v>
      </c>
      <c r="N43" s="1200"/>
      <c r="O43" s="1202"/>
      <c r="P43" s="65" t="s">
        <v>38</v>
      </c>
      <c r="Q43" s="66">
        <f>IF($AA$1&gt;0,0,'医療分・支援・介護分（印刷））'!X229)</f>
        <v>0</v>
      </c>
      <c r="R43" s="1200"/>
      <c r="S43" s="1202"/>
      <c r="T43" s="266" t="s">
        <v>38</v>
      </c>
      <c r="U43" s="129">
        <f t="shared" si="20"/>
        <v>0</v>
      </c>
      <c r="V43" s="1206"/>
      <c r="W43" s="1167"/>
      <c r="Y43" s="274" t="str">
        <f>IF(W42=0,"－",IF(F38=W42,"ＯＫ","エラー"))</f>
        <v>－</v>
      </c>
      <c r="AA43" s="56"/>
      <c r="AB43" s="12"/>
      <c r="AC43" s="12"/>
      <c r="AD43" s="12"/>
      <c r="AE43" s="12"/>
      <c r="AF43" s="12"/>
      <c r="AG43" s="65" t="s">
        <v>38</v>
      </c>
      <c r="AH43" s="132">
        <f>SUM(U38:U43)</f>
        <v>0</v>
      </c>
      <c r="AI43" s="1140"/>
      <c r="AJ43" s="1142"/>
      <c r="AK43" s="12"/>
      <c r="AL43" s="65" t="s">
        <v>38</v>
      </c>
      <c r="AM43" s="66">
        <f>IF($AC$6=$AH$11,AH43,0)</f>
        <v>0</v>
      </c>
      <c r="AN43" s="1135"/>
      <c r="AO43" s="1136"/>
      <c r="AP43" s="1144"/>
      <c r="AQ43" s="1144"/>
      <c r="AR43" s="12"/>
      <c r="AS43" s="65" t="s">
        <v>38</v>
      </c>
      <c r="AT43" s="66">
        <f t="shared" si="21"/>
        <v>0</v>
      </c>
      <c r="AU43" s="1135"/>
      <c r="AV43" s="1136"/>
      <c r="AW43" s="12"/>
      <c r="AX43" s="65" t="s">
        <v>38</v>
      </c>
      <c r="AY43" s="66">
        <f t="shared" si="22"/>
        <v>0</v>
      </c>
      <c r="AZ43" s="1135"/>
      <c r="BA43" s="1136"/>
      <c r="BC43" s="12"/>
      <c r="BD43" s="56"/>
      <c r="BE43" s="12"/>
      <c r="BF43" s="12"/>
      <c r="BG43" s="12"/>
      <c r="BH43" s="12"/>
      <c r="BI43" s="12"/>
      <c r="BJ43" s="65" t="s">
        <v>38</v>
      </c>
      <c r="BK43" s="132">
        <f>U43+W38+W39+W40+W41</f>
        <v>0</v>
      </c>
      <c r="BL43" s="1140"/>
      <c r="BM43" s="1142"/>
      <c r="BN43" s="12"/>
      <c r="BO43" s="65" t="s">
        <v>38</v>
      </c>
      <c r="BP43" s="66">
        <f>IF($BF$6=$BK$11,BK43,0)</f>
        <v>0</v>
      </c>
      <c r="BQ43" s="1135"/>
      <c r="BR43" s="1136"/>
      <c r="BS43" s="1144"/>
      <c r="BT43" s="1144"/>
      <c r="BU43" s="12"/>
      <c r="BV43" s="65" t="s">
        <v>38</v>
      </c>
      <c r="BW43" s="66">
        <f t="shared" si="23"/>
        <v>0</v>
      </c>
      <c r="BX43" s="1135"/>
      <c r="BY43" s="1136"/>
      <c r="BZ43" s="12"/>
      <c r="CA43" s="65" t="s">
        <v>38</v>
      </c>
      <c r="CB43" s="66">
        <f t="shared" si="24"/>
        <v>0</v>
      </c>
      <c r="CC43" s="1135"/>
      <c r="CD43" s="1136"/>
      <c r="CE43" s="13"/>
    </row>
    <row r="44" spans="1:83" ht="9.9499999999999993" customHeight="1">
      <c r="E44" s="68"/>
      <c r="F44" s="68"/>
      <c r="G44" s="18"/>
      <c r="AA44" s="56"/>
      <c r="AB44" s="12"/>
      <c r="AC44" s="12"/>
      <c r="AD44" s="12"/>
      <c r="AE44" s="12"/>
      <c r="AF44" s="12"/>
      <c r="AG44" s="4"/>
      <c r="AH44" s="4"/>
      <c r="AI44" s="4"/>
      <c r="AJ44" s="4"/>
      <c r="AK44" s="12"/>
      <c r="AL44" s="4"/>
      <c r="AM44" s="4"/>
      <c r="AN44" s="4"/>
      <c r="AO44" s="4"/>
      <c r="AP44" s="12"/>
      <c r="AQ44" s="12"/>
      <c r="AR44" s="12"/>
      <c r="AS44" s="4"/>
      <c r="AT44" s="4"/>
      <c r="AU44" s="4"/>
      <c r="AV44" s="4"/>
      <c r="AW44" s="12"/>
      <c r="AX44" s="4"/>
      <c r="AY44" s="4"/>
      <c r="AZ44" s="4"/>
      <c r="BA44" s="4"/>
      <c r="BC44" s="12"/>
      <c r="BD44" s="56"/>
      <c r="BE44" s="12"/>
      <c r="BF44" s="12"/>
      <c r="BG44" s="12"/>
      <c r="BH44" s="12"/>
      <c r="BI44" s="12"/>
      <c r="BJ44" s="4"/>
      <c r="BK44" s="4"/>
      <c r="BL44" s="4"/>
      <c r="BM44" s="4"/>
      <c r="BN44" s="12"/>
      <c r="BO44" s="4"/>
      <c r="BP44" s="4"/>
      <c r="BQ44" s="4"/>
      <c r="BR44" s="4"/>
      <c r="BS44" s="12"/>
      <c r="BT44" s="12"/>
      <c r="BU44" s="12"/>
      <c r="BV44" s="4"/>
      <c r="BW44" s="4"/>
      <c r="BX44" s="4"/>
      <c r="BY44" s="4"/>
      <c r="BZ44" s="12"/>
      <c r="CA44" s="4"/>
      <c r="CB44" s="4"/>
      <c r="CC44" s="4"/>
      <c r="CD44" s="4"/>
      <c r="CE44" s="13"/>
    </row>
    <row r="45" spans="1:83" ht="23.25" customHeight="1">
      <c r="A45" s="1197" t="s">
        <v>155</v>
      </c>
      <c r="B45" s="1194" t="s">
        <v>77</v>
      </c>
      <c r="C45" s="1194"/>
      <c r="D45" s="1194"/>
      <c r="E45" s="1216" t="s">
        <v>82</v>
      </c>
      <c r="F45" s="1217"/>
      <c r="G45" s="1218"/>
      <c r="H45" s="1164" t="s">
        <v>69</v>
      </c>
      <c r="I45" s="1164"/>
      <c r="J45" s="1164"/>
      <c r="K45" s="1164"/>
      <c r="L45" s="1163" t="s">
        <v>159</v>
      </c>
      <c r="M45" s="1164"/>
      <c r="N45" s="1164"/>
      <c r="O45" s="1165"/>
      <c r="P45" s="1163" t="s">
        <v>70</v>
      </c>
      <c r="Q45" s="1164"/>
      <c r="R45" s="1164"/>
      <c r="S45" s="1165"/>
      <c r="T45" s="1163" t="s">
        <v>76</v>
      </c>
      <c r="U45" s="1164"/>
      <c r="V45" s="1164"/>
      <c r="W45" s="1165"/>
      <c r="AA45" s="56"/>
      <c r="AB45" s="12"/>
      <c r="AC45" s="12"/>
      <c r="AD45" s="12"/>
      <c r="AE45" s="12"/>
      <c r="AF45" s="12"/>
      <c r="AG45" s="1146" t="s">
        <v>94</v>
      </c>
      <c r="AH45" s="1147"/>
      <c r="AI45" s="1147"/>
      <c r="AJ45" s="1148"/>
      <c r="AK45" s="12"/>
      <c r="AL45" s="1146" t="s">
        <v>95</v>
      </c>
      <c r="AM45" s="1147"/>
      <c r="AN45" s="1147"/>
      <c r="AO45" s="1148"/>
      <c r="AP45" s="12"/>
      <c r="AQ45" s="12"/>
      <c r="AR45" s="12"/>
      <c r="AS45" s="1146" t="s">
        <v>98</v>
      </c>
      <c r="AT45" s="1147"/>
      <c r="AU45" s="1147"/>
      <c r="AV45" s="1148"/>
      <c r="AW45" s="12"/>
      <c r="AX45" s="1146" t="s">
        <v>98</v>
      </c>
      <c r="AY45" s="1147"/>
      <c r="AZ45" s="1147"/>
      <c r="BA45" s="1148"/>
      <c r="BC45" s="12"/>
      <c r="BD45" s="56"/>
      <c r="BE45" s="12"/>
      <c r="BF45" s="12"/>
      <c r="BG45" s="12"/>
      <c r="BH45" s="12"/>
      <c r="BI45" s="12"/>
      <c r="BJ45" s="1146" t="s">
        <v>101</v>
      </c>
      <c r="BK45" s="1147"/>
      <c r="BL45" s="1147"/>
      <c r="BM45" s="1148"/>
      <c r="BN45" s="12"/>
      <c r="BO45" s="1146" t="s">
        <v>95</v>
      </c>
      <c r="BP45" s="1147"/>
      <c r="BQ45" s="1147"/>
      <c r="BR45" s="1148"/>
      <c r="BS45" s="12"/>
      <c r="BT45" s="12"/>
      <c r="BU45" s="12"/>
      <c r="BV45" s="1146" t="s">
        <v>98</v>
      </c>
      <c r="BW45" s="1147"/>
      <c r="BX45" s="1147"/>
      <c r="BY45" s="1148"/>
      <c r="BZ45" s="12"/>
      <c r="CA45" s="1146" t="s">
        <v>98</v>
      </c>
      <c r="CB45" s="1147"/>
      <c r="CC45" s="1147"/>
      <c r="CD45" s="1148"/>
      <c r="CE45" s="13"/>
    </row>
    <row r="46" spans="1:83" ht="23.25" customHeight="1">
      <c r="A46" s="1198"/>
      <c r="B46" s="1191">
        <f>入力画面!C32</f>
        <v>0</v>
      </c>
      <c r="C46" s="1186"/>
      <c r="D46" s="1195">
        <f>IF(F46&gt;0,"様",0)</f>
        <v>0</v>
      </c>
      <c r="E46" s="1207" t="s">
        <v>75</v>
      </c>
      <c r="F46" s="1209">
        <f>IF(AA1&gt;0,0,'医療分・支援・介護分（印刷））'!U60+'医療分・支援・介護分（印刷））'!U149+'医療分・支援・介護分（印刷））'!U238)</f>
        <v>0</v>
      </c>
      <c r="G46" s="1211" t="s">
        <v>6</v>
      </c>
      <c r="H46" s="82" t="s">
        <v>34</v>
      </c>
      <c r="I46" s="29">
        <f>IF($AA$1&gt;0,0,'医療分・支援・介護分（印刷））'!X56)</f>
        <v>0</v>
      </c>
      <c r="J46" s="30" t="s">
        <v>39</v>
      </c>
      <c r="K46" s="29">
        <f>IF($AA$1&gt;0,0,'医療分・支援・介護分（印刷））'!Z56)</f>
        <v>0</v>
      </c>
      <c r="L46" s="28" t="s">
        <v>34</v>
      </c>
      <c r="M46" s="29">
        <f>IF($AA$1&gt;0,0,'医療分・支援・介護分（印刷））'!X145)</f>
        <v>0</v>
      </c>
      <c r="N46" s="30" t="s">
        <v>39</v>
      </c>
      <c r="O46" s="31">
        <f>IF($AA$1&gt;0,0,'医療分・支援・介護分（印刷））'!Z145)</f>
        <v>0</v>
      </c>
      <c r="P46" s="28" t="s">
        <v>34</v>
      </c>
      <c r="Q46" s="29">
        <f>IF($AA$1&gt;0,0,'医療分・支援・介護分（印刷））'!X234)</f>
        <v>0</v>
      </c>
      <c r="R46" s="30" t="s">
        <v>39</v>
      </c>
      <c r="S46" s="29">
        <f>IF($AA$1&gt;0,0,'医療分・支援・介護分（印刷））'!Z234)</f>
        <v>0</v>
      </c>
      <c r="T46" s="260" t="s">
        <v>34</v>
      </c>
      <c r="U46" s="261">
        <f t="shared" ref="U46:U51" si="25">I46+M46+Q46</f>
        <v>0</v>
      </c>
      <c r="V46" s="262" t="s">
        <v>39</v>
      </c>
      <c r="W46" s="263">
        <f>K46+O46+S46</f>
        <v>0</v>
      </c>
      <c r="AA46" s="56"/>
      <c r="AB46" s="50"/>
      <c r="AC46" s="1149"/>
      <c r="AD46" s="1150"/>
      <c r="AE46" s="50"/>
      <c r="AF46" s="12"/>
      <c r="AG46" s="28" t="s">
        <v>34</v>
      </c>
      <c r="AH46" s="29">
        <f>U46</f>
        <v>0</v>
      </c>
      <c r="AI46" s="30" t="s">
        <v>39</v>
      </c>
      <c r="AJ46" s="31">
        <f>U46+U47+U48+U49+U50+U51+W46</f>
        <v>0</v>
      </c>
      <c r="AK46" s="12"/>
      <c r="AL46" s="28" t="s">
        <v>34</v>
      </c>
      <c r="AM46" s="29">
        <f>IF($AC$6=$AH$6,AH46,0)</f>
        <v>0</v>
      </c>
      <c r="AN46" s="30" t="s">
        <v>39</v>
      </c>
      <c r="AO46" s="31">
        <f>IF($AC$6=$AJ$6,AJ46,0)</f>
        <v>0</v>
      </c>
      <c r="AP46" s="12"/>
      <c r="AQ46" s="12"/>
      <c r="AR46" s="12"/>
      <c r="AS46" s="28" t="s">
        <v>34</v>
      </c>
      <c r="AT46" s="29">
        <f t="shared" ref="AT46:AT51" si="26">AT38</f>
        <v>0</v>
      </c>
      <c r="AU46" s="30" t="s">
        <v>39</v>
      </c>
      <c r="AV46" s="31">
        <f>AV38</f>
        <v>0</v>
      </c>
      <c r="AW46" s="12"/>
      <c r="AX46" s="28" t="s">
        <v>34</v>
      </c>
      <c r="AY46" s="29">
        <f t="shared" ref="AY46:AY51" si="27">IF(AT46=1,AH46,0)</f>
        <v>0</v>
      </c>
      <c r="AZ46" s="30" t="s">
        <v>39</v>
      </c>
      <c r="BA46" s="31">
        <f>IF(AV46=1,AJ46,0)</f>
        <v>0</v>
      </c>
      <c r="BC46" s="12"/>
      <c r="BD46" s="56"/>
      <c r="BE46" s="50"/>
      <c r="BF46" s="1149"/>
      <c r="BG46" s="1150"/>
      <c r="BH46" s="50"/>
      <c r="BI46" s="12"/>
      <c r="BJ46" s="28" t="s">
        <v>34</v>
      </c>
      <c r="BK46" s="29">
        <f>U46+U47+U48+U49+U50+U51+W46+W47+W48+W49</f>
        <v>0</v>
      </c>
      <c r="BL46" s="30" t="s">
        <v>39</v>
      </c>
      <c r="BM46" s="31">
        <f>SUM(W46:W49)</f>
        <v>0</v>
      </c>
      <c r="BN46" s="12"/>
      <c r="BO46" s="28" t="s">
        <v>34</v>
      </c>
      <c r="BP46" s="29">
        <f>IF($BF$6=$BK$6,BK46,0)</f>
        <v>0</v>
      </c>
      <c r="BQ46" s="30" t="s">
        <v>39</v>
      </c>
      <c r="BR46" s="31">
        <f>IF($BF$6=$BM$6,BM46,0)</f>
        <v>0</v>
      </c>
      <c r="BS46" s="12"/>
      <c r="BT46" s="12"/>
      <c r="BU46" s="12"/>
      <c r="BV46" s="28" t="s">
        <v>34</v>
      </c>
      <c r="BW46" s="29">
        <f t="shared" ref="BW46:BW51" si="28">BW38</f>
        <v>0</v>
      </c>
      <c r="BX46" s="30" t="s">
        <v>39</v>
      </c>
      <c r="BY46" s="31">
        <f>BY38</f>
        <v>0</v>
      </c>
      <c r="BZ46" s="12"/>
      <c r="CA46" s="28" t="s">
        <v>34</v>
      </c>
      <c r="CB46" s="29">
        <f t="shared" ref="CB46:CB51" si="29">IF(BW46=1,BK46,0)</f>
        <v>0</v>
      </c>
      <c r="CC46" s="30" t="s">
        <v>39</v>
      </c>
      <c r="CD46" s="31">
        <f>IF(BY46=1,BM46,0)</f>
        <v>0</v>
      </c>
      <c r="CE46" s="13"/>
    </row>
    <row r="47" spans="1:83" ht="23.25" customHeight="1">
      <c r="A47" s="1198"/>
      <c r="B47" s="1192"/>
      <c r="C47" s="1193"/>
      <c r="D47" s="1196"/>
      <c r="E47" s="1208"/>
      <c r="F47" s="1210"/>
      <c r="G47" s="1212"/>
      <c r="H47" s="82" t="s">
        <v>35</v>
      </c>
      <c r="I47" s="29">
        <f>IF($AA$1&gt;0,0,'医療分・支援・介護分（印刷））'!X57)</f>
        <v>0</v>
      </c>
      <c r="J47" s="30" t="s">
        <v>40</v>
      </c>
      <c r="K47" s="29">
        <f>IF($AA$1&gt;0,0,'医療分・支援・介護分（印刷））'!Z57)</f>
        <v>0</v>
      </c>
      <c r="L47" s="28" t="s">
        <v>35</v>
      </c>
      <c r="M47" s="29">
        <f>IF($AA$1&gt;0,0,'医療分・支援・介護分（印刷））'!X146)</f>
        <v>0</v>
      </c>
      <c r="N47" s="30" t="s">
        <v>40</v>
      </c>
      <c r="O47" s="31">
        <f>IF($AA$1&gt;0,0,'医療分・支援・介護分（印刷））'!Z146)</f>
        <v>0</v>
      </c>
      <c r="P47" s="28" t="s">
        <v>35</v>
      </c>
      <c r="Q47" s="29">
        <f>IF($AA$1&gt;0,0,'医療分・支援・介護分（印刷））'!X235)</f>
        <v>0</v>
      </c>
      <c r="R47" s="30" t="s">
        <v>40</v>
      </c>
      <c r="S47" s="29">
        <f>IF($AA$1&gt;0,0,'医療分・支援・介護分（印刷））'!Z235)</f>
        <v>0</v>
      </c>
      <c r="T47" s="264" t="s">
        <v>35</v>
      </c>
      <c r="U47" s="125">
        <f t="shared" si="25"/>
        <v>0</v>
      </c>
      <c r="V47" s="126" t="s">
        <v>40</v>
      </c>
      <c r="W47" s="127">
        <f>K47+O47+S47</f>
        <v>0</v>
      </c>
      <c r="AA47" s="56"/>
      <c r="AB47" s="12"/>
      <c r="AC47" s="1137"/>
      <c r="AD47" s="1138"/>
      <c r="AE47" s="50"/>
      <c r="AF47" s="12"/>
      <c r="AG47" s="28" t="s">
        <v>35</v>
      </c>
      <c r="AH47" s="29">
        <f>SUM(U46:U47)</f>
        <v>0</v>
      </c>
      <c r="AI47" s="30" t="s">
        <v>40</v>
      </c>
      <c r="AJ47" s="31">
        <f>U46+U47+U48+U49+U50+U51+W46+W47</f>
        <v>0</v>
      </c>
      <c r="AK47" s="12"/>
      <c r="AL47" s="28" t="s">
        <v>35</v>
      </c>
      <c r="AM47" s="29">
        <f>IF($AC$6=$AH$7,AH47,0)</f>
        <v>0</v>
      </c>
      <c r="AN47" s="30" t="s">
        <v>40</v>
      </c>
      <c r="AO47" s="31">
        <f>IF($AC$6=$AJ$7,AJ47,0)</f>
        <v>0</v>
      </c>
      <c r="AP47" s="12"/>
      <c r="AQ47" s="12"/>
      <c r="AR47" s="12"/>
      <c r="AS47" s="28" t="s">
        <v>35</v>
      </c>
      <c r="AT47" s="29">
        <f t="shared" si="26"/>
        <v>0</v>
      </c>
      <c r="AU47" s="30" t="s">
        <v>40</v>
      </c>
      <c r="AV47" s="31">
        <f>AV39</f>
        <v>0</v>
      </c>
      <c r="AW47" s="12"/>
      <c r="AX47" s="28" t="s">
        <v>35</v>
      </c>
      <c r="AY47" s="29">
        <f t="shared" si="27"/>
        <v>0</v>
      </c>
      <c r="AZ47" s="30" t="s">
        <v>40</v>
      </c>
      <c r="BA47" s="31">
        <f>IF(AV47=1,AJ47,0)</f>
        <v>0</v>
      </c>
      <c r="BC47" s="12"/>
      <c r="BD47" s="56"/>
      <c r="BE47" s="12"/>
      <c r="BF47" s="1137"/>
      <c r="BG47" s="1138"/>
      <c r="BH47" s="50"/>
      <c r="BI47" s="12"/>
      <c r="BJ47" s="28" t="s">
        <v>35</v>
      </c>
      <c r="BK47" s="29">
        <f>U47+U48+U49+U50+U51+W46+W47+W48+W49</f>
        <v>0</v>
      </c>
      <c r="BL47" s="30" t="s">
        <v>40</v>
      </c>
      <c r="BM47" s="31">
        <f>SUM(W47:W49)</f>
        <v>0</v>
      </c>
      <c r="BN47" s="12"/>
      <c r="BO47" s="28" t="s">
        <v>35</v>
      </c>
      <c r="BP47" s="29">
        <f>IF($BF$6=$BK$7,BK47,0)</f>
        <v>0</v>
      </c>
      <c r="BQ47" s="30" t="s">
        <v>40</v>
      </c>
      <c r="BR47" s="31">
        <f>IF($BF$6=$BM$7,BM47,0)</f>
        <v>0</v>
      </c>
      <c r="BS47" s="12"/>
      <c r="BT47" s="12"/>
      <c r="BU47" s="12"/>
      <c r="BV47" s="28" t="s">
        <v>35</v>
      </c>
      <c r="BW47" s="29">
        <f t="shared" si="28"/>
        <v>0</v>
      </c>
      <c r="BX47" s="30" t="s">
        <v>40</v>
      </c>
      <c r="BY47" s="31">
        <f>BY39</f>
        <v>0</v>
      </c>
      <c r="BZ47" s="12"/>
      <c r="CA47" s="28" t="s">
        <v>35</v>
      </c>
      <c r="CB47" s="29">
        <f t="shared" si="29"/>
        <v>0</v>
      </c>
      <c r="CC47" s="30" t="s">
        <v>40</v>
      </c>
      <c r="CD47" s="31">
        <f>IF(BY47=1,BM47,0)</f>
        <v>0</v>
      </c>
      <c r="CE47" s="13"/>
    </row>
    <row r="48" spans="1:83" ht="23.25" customHeight="1">
      <c r="A48" s="1185">
        <f>入力画面!$L$9</f>
        <v>0</v>
      </c>
      <c r="B48" s="1186"/>
      <c r="C48" s="1186"/>
      <c r="D48" s="1187"/>
      <c r="E48" s="1183" t="s">
        <v>97</v>
      </c>
      <c r="F48" s="1213">
        <f>AZ50+CC50</f>
        <v>0</v>
      </c>
      <c r="G48" s="1215" t="s">
        <v>6</v>
      </c>
      <c r="H48" s="82" t="s">
        <v>36</v>
      </c>
      <c r="I48" s="29">
        <f>IF($AA$1&gt;0,0,'医療分・支援・介護分（印刷））'!X58)</f>
        <v>0</v>
      </c>
      <c r="J48" s="30" t="s">
        <v>41</v>
      </c>
      <c r="K48" s="29">
        <f>IF($AA$1&gt;0,0,'医療分・支援・介護分（印刷））'!Z58)</f>
        <v>0</v>
      </c>
      <c r="L48" s="28" t="s">
        <v>36</v>
      </c>
      <c r="M48" s="29">
        <f>IF($AA$1&gt;0,0,'医療分・支援・介護分（印刷））'!X147)</f>
        <v>0</v>
      </c>
      <c r="N48" s="30" t="s">
        <v>41</v>
      </c>
      <c r="O48" s="31">
        <f>IF($AA$1&gt;0,0,'医療分・支援・介護分（印刷））'!Z147)</f>
        <v>0</v>
      </c>
      <c r="P48" s="28" t="s">
        <v>36</v>
      </c>
      <c r="Q48" s="29">
        <f>IF($AA$1&gt;0,0,'医療分・支援・介護分（印刷））'!X236)</f>
        <v>0</v>
      </c>
      <c r="R48" s="30" t="s">
        <v>41</v>
      </c>
      <c r="S48" s="29">
        <f>IF($AA$1&gt;0,0,'医療分・支援・介護分（印刷））'!Z236)</f>
        <v>0</v>
      </c>
      <c r="T48" s="264" t="s">
        <v>36</v>
      </c>
      <c r="U48" s="125">
        <f t="shared" si="25"/>
        <v>0</v>
      </c>
      <c r="V48" s="126" t="s">
        <v>41</v>
      </c>
      <c r="W48" s="127">
        <f>K48+O48+S48</f>
        <v>0</v>
      </c>
      <c r="AA48" s="56"/>
      <c r="AB48" s="12"/>
      <c r="AC48" s="1137"/>
      <c r="AD48" s="1138"/>
      <c r="AE48" s="50"/>
      <c r="AF48" s="12"/>
      <c r="AG48" s="28" t="s">
        <v>36</v>
      </c>
      <c r="AH48" s="29">
        <f>SUM(U46:U48)</f>
        <v>0</v>
      </c>
      <c r="AI48" s="30" t="s">
        <v>41</v>
      </c>
      <c r="AJ48" s="31">
        <f>U46+U47+U48+U49+U50+U51+W46+W47+W48</f>
        <v>0</v>
      </c>
      <c r="AK48" s="12"/>
      <c r="AL48" s="28" t="s">
        <v>36</v>
      </c>
      <c r="AM48" s="29">
        <f>IF($AC$6=$AH$8,AH48,0)</f>
        <v>0</v>
      </c>
      <c r="AN48" s="30" t="s">
        <v>41</v>
      </c>
      <c r="AO48" s="31">
        <f>IF($AC$6=$AJ$8,AJ48,0)</f>
        <v>0</v>
      </c>
      <c r="AP48" s="12"/>
      <c r="AQ48" s="12"/>
      <c r="AR48" s="12"/>
      <c r="AS48" s="28" t="s">
        <v>36</v>
      </c>
      <c r="AT48" s="29">
        <f t="shared" si="26"/>
        <v>0</v>
      </c>
      <c r="AU48" s="30" t="s">
        <v>41</v>
      </c>
      <c r="AV48" s="31">
        <f>AV40</f>
        <v>0</v>
      </c>
      <c r="AW48" s="12"/>
      <c r="AX48" s="28" t="s">
        <v>36</v>
      </c>
      <c r="AY48" s="29">
        <f t="shared" si="27"/>
        <v>0</v>
      </c>
      <c r="AZ48" s="30" t="s">
        <v>41</v>
      </c>
      <c r="BA48" s="31">
        <f>IF(AV48=1,AJ48,0)</f>
        <v>0</v>
      </c>
      <c r="BC48" s="12"/>
      <c r="BD48" s="56"/>
      <c r="BE48" s="12"/>
      <c r="BF48" s="1137"/>
      <c r="BG48" s="1138"/>
      <c r="BH48" s="50"/>
      <c r="BI48" s="12"/>
      <c r="BJ48" s="28" t="s">
        <v>36</v>
      </c>
      <c r="BK48" s="29">
        <f>U48+U49+U50+U51+W46+W47+W48+W49</f>
        <v>0</v>
      </c>
      <c r="BL48" s="30" t="s">
        <v>41</v>
      </c>
      <c r="BM48" s="31">
        <f>SUM(W48:W49)</f>
        <v>0</v>
      </c>
      <c r="BN48" s="12"/>
      <c r="BO48" s="28" t="s">
        <v>36</v>
      </c>
      <c r="BP48" s="29">
        <f>IF($BF$6=$BK$8,BK48,0)</f>
        <v>0</v>
      </c>
      <c r="BQ48" s="30" t="s">
        <v>41</v>
      </c>
      <c r="BR48" s="31">
        <f>IF($BF$6=$BM$8,BM48,0)</f>
        <v>0</v>
      </c>
      <c r="BS48" s="12"/>
      <c r="BT48" s="12"/>
      <c r="BU48" s="12"/>
      <c r="BV48" s="28" t="s">
        <v>36</v>
      </c>
      <c r="BW48" s="29">
        <f t="shared" si="28"/>
        <v>0</v>
      </c>
      <c r="BX48" s="30" t="s">
        <v>41</v>
      </c>
      <c r="BY48" s="31">
        <f>BY40</f>
        <v>0</v>
      </c>
      <c r="BZ48" s="12"/>
      <c r="CA48" s="28" t="s">
        <v>36</v>
      </c>
      <c r="CB48" s="29">
        <f t="shared" si="29"/>
        <v>0</v>
      </c>
      <c r="CC48" s="30" t="s">
        <v>41</v>
      </c>
      <c r="CD48" s="31">
        <f>IF(BY48=1,BM48,0)</f>
        <v>0</v>
      </c>
      <c r="CE48" s="13"/>
    </row>
    <row r="49" spans="1:83" ht="23.25" customHeight="1">
      <c r="A49" s="1188"/>
      <c r="B49" s="1189"/>
      <c r="C49" s="1189"/>
      <c r="D49" s="1190"/>
      <c r="E49" s="1184"/>
      <c r="F49" s="1214"/>
      <c r="G49" s="1215"/>
      <c r="H49" s="82" t="s">
        <v>43</v>
      </c>
      <c r="I49" s="29">
        <f>IF($AA$1&gt;0,0,'医療分・支援・介護分（印刷））'!X59)</f>
        <v>0</v>
      </c>
      <c r="J49" s="30" t="s">
        <v>42</v>
      </c>
      <c r="K49" s="29">
        <f>IF($AA$1&gt;0,0,'医療分・支援・介護分（印刷））'!Z59)</f>
        <v>0</v>
      </c>
      <c r="L49" s="28" t="s">
        <v>43</v>
      </c>
      <c r="M49" s="29">
        <f>IF($AA$1&gt;0,0,'医療分・支援・介護分（印刷））'!X148)</f>
        <v>0</v>
      </c>
      <c r="N49" s="30" t="s">
        <v>42</v>
      </c>
      <c r="O49" s="31">
        <f>IF($AA$1&gt;0,0,'医療分・支援・介護分（印刷））'!Z148)</f>
        <v>0</v>
      </c>
      <c r="P49" s="28" t="s">
        <v>43</v>
      </c>
      <c r="Q49" s="29">
        <f>IF($AA$1&gt;0,0,'医療分・支援・介護分（印刷））'!X237)</f>
        <v>0</v>
      </c>
      <c r="R49" s="30" t="s">
        <v>42</v>
      </c>
      <c r="S49" s="29">
        <f>IF($AA$1&gt;0,0,'医療分・支援・介護分（印刷））'!Z237)</f>
        <v>0</v>
      </c>
      <c r="T49" s="264" t="s">
        <v>43</v>
      </c>
      <c r="U49" s="125">
        <f t="shared" si="25"/>
        <v>0</v>
      </c>
      <c r="V49" s="265" t="s">
        <v>42</v>
      </c>
      <c r="W49" s="127">
        <f>K49+O49+S49</f>
        <v>0</v>
      </c>
      <c r="AA49" s="56"/>
      <c r="AB49" s="12"/>
      <c r="AC49" s="1145"/>
      <c r="AD49" s="1145"/>
      <c r="AE49" s="1145"/>
      <c r="AF49" s="12"/>
      <c r="AG49" s="28" t="s">
        <v>43</v>
      </c>
      <c r="AH49" s="29">
        <f>SUM(U46:U49)</f>
        <v>0</v>
      </c>
      <c r="AI49" s="133" t="s">
        <v>93</v>
      </c>
      <c r="AJ49" s="144">
        <f>U46+U47+U48+U49+U50+U51+W46+W47+W48+W49</f>
        <v>0</v>
      </c>
      <c r="AK49" s="12"/>
      <c r="AL49" s="28" t="s">
        <v>43</v>
      </c>
      <c r="AM49" s="29">
        <f>IF($AC$6=$AH$9,AH49,0)</f>
        <v>0</v>
      </c>
      <c r="AN49" s="133" t="s">
        <v>93</v>
      </c>
      <c r="AO49" s="31">
        <f>IF($AC$6=$AJ$9,AJ49,0)</f>
        <v>0</v>
      </c>
      <c r="AP49" s="12"/>
      <c r="AQ49" s="12"/>
      <c r="AR49" s="12"/>
      <c r="AS49" s="28" t="s">
        <v>43</v>
      </c>
      <c r="AT49" s="29">
        <f t="shared" si="26"/>
        <v>0</v>
      </c>
      <c r="AU49" s="133" t="s">
        <v>93</v>
      </c>
      <c r="AV49" s="31">
        <f>AV41</f>
        <v>0</v>
      </c>
      <c r="AW49" s="12"/>
      <c r="AX49" s="28" t="s">
        <v>43</v>
      </c>
      <c r="AY49" s="29">
        <f t="shared" si="27"/>
        <v>0</v>
      </c>
      <c r="AZ49" s="133" t="s">
        <v>93</v>
      </c>
      <c r="BA49" s="31">
        <f>IF(AV49=1,AJ49,0)</f>
        <v>0</v>
      </c>
      <c r="BC49" s="12"/>
      <c r="BD49" s="56"/>
      <c r="BE49" s="12"/>
      <c r="BF49" s="1145"/>
      <c r="BG49" s="1145"/>
      <c r="BH49" s="1145"/>
      <c r="BI49" s="12"/>
      <c r="BJ49" s="28" t="s">
        <v>43</v>
      </c>
      <c r="BK49" s="29">
        <f>U49+U50+U51+W46+W47+W48+W49</f>
        <v>0</v>
      </c>
      <c r="BL49" s="30" t="s">
        <v>42</v>
      </c>
      <c r="BM49" s="144">
        <f>W49</f>
        <v>0</v>
      </c>
      <c r="BN49" s="12"/>
      <c r="BO49" s="28" t="s">
        <v>43</v>
      </c>
      <c r="BP49" s="29">
        <f>IF($BF$6=$BK$9,BK49,0)</f>
        <v>0</v>
      </c>
      <c r="BQ49" s="133" t="s">
        <v>93</v>
      </c>
      <c r="BR49" s="31">
        <f>IF($BF$6=$BM$9,BM49,0)</f>
        <v>0</v>
      </c>
      <c r="BS49" s="12"/>
      <c r="BT49" s="12"/>
      <c r="BU49" s="12"/>
      <c r="BV49" s="28" t="s">
        <v>43</v>
      </c>
      <c r="BW49" s="29">
        <f t="shared" si="28"/>
        <v>0</v>
      </c>
      <c r="BX49" s="133" t="s">
        <v>93</v>
      </c>
      <c r="BY49" s="31">
        <f>BY41</f>
        <v>0</v>
      </c>
      <c r="BZ49" s="12"/>
      <c r="CA49" s="28" t="s">
        <v>43</v>
      </c>
      <c r="CB49" s="29">
        <f t="shared" si="29"/>
        <v>0</v>
      </c>
      <c r="CC49" s="133" t="s">
        <v>93</v>
      </c>
      <c r="CD49" s="31">
        <f>IF(BY49=1,BM49,0)</f>
        <v>0</v>
      </c>
      <c r="CE49" s="13"/>
    </row>
    <row r="50" spans="1:83" ht="23.25" customHeight="1">
      <c r="A50" s="1171">
        <f>IF((Q47+Q48+Q49+Q50+Q51+S46+S47+S48+S49)&lt;0,"介護該当者は①から順に入力してください｡",0)</f>
        <v>0</v>
      </c>
      <c r="B50" s="1172"/>
      <c r="C50" s="1172"/>
      <c r="D50" s="1173"/>
      <c r="E50" s="1177">
        <f>IF(AQ50=1,"＊入金額エラー＊",0)</f>
        <v>0</v>
      </c>
      <c r="F50" s="1178"/>
      <c r="G50" s="1179"/>
      <c r="H50" s="82" t="s">
        <v>37</v>
      </c>
      <c r="I50" s="29">
        <f>IF($AA$1&gt;0,0,'医療分・支援・介護分（印刷））'!X60)</f>
        <v>0</v>
      </c>
      <c r="J50" s="1199" t="s">
        <v>44</v>
      </c>
      <c r="K50" s="1203">
        <f>IF(AA1&gt;0,0,'医療分・支援・介護分（印刷））'!Z60)</f>
        <v>0</v>
      </c>
      <c r="L50" s="28" t="s">
        <v>37</v>
      </c>
      <c r="M50" s="29">
        <f>IF($AA$1&gt;0,0,'医療分・支援・介護分（印刷））'!X149)</f>
        <v>0</v>
      </c>
      <c r="N50" s="1199" t="s">
        <v>44</v>
      </c>
      <c r="O50" s="1201">
        <f>IF($AA$1&gt;0,0,'医療分・支援・介護分（印刷））'!Z149)</f>
        <v>0</v>
      </c>
      <c r="P50" s="28" t="s">
        <v>37</v>
      </c>
      <c r="Q50" s="29">
        <f>IF($AA$1&gt;0,0,'医療分・支援・介護分（印刷））'!X238)</f>
        <v>0</v>
      </c>
      <c r="R50" s="1199" t="s">
        <v>44</v>
      </c>
      <c r="S50" s="1201">
        <f>IF(AA1&gt;0,0,'医療分・支援・介護分（印刷））'!Z238)</f>
        <v>0</v>
      </c>
      <c r="T50" s="264" t="s">
        <v>37</v>
      </c>
      <c r="U50" s="125">
        <f t="shared" si="25"/>
        <v>0</v>
      </c>
      <c r="V50" s="1205" t="s">
        <v>44</v>
      </c>
      <c r="W50" s="1166">
        <f>K50+O50+S50</f>
        <v>0</v>
      </c>
      <c r="AA50" s="56"/>
      <c r="AB50" s="12"/>
      <c r="AC50" s="1137"/>
      <c r="AD50" s="1138"/>
      <c r="AE50" s="50"/>
      <c r="AF50" s="12"/>
      <c r="AG50" s="28" t="s">
        <v>37</v>
      </c>
      <c r="AH50" s="81">
        <f>SUM(U46:U50)</f>
        <v>0</v>
      </c>
      <c r="AI50" s="1139"/>
      <c r="AJ50" s="1141"/>
      <c r="AK50" s="12"/>
      <c r="AL50" s="28" t="s">
        <v>37</v>
      </c>
      <c r="AM50" s="29">
        <f>IF($AC$6=$AH$10,AH50,0)</f>
        <v>0</v>
      </c>
      <c r="AN50" s="1133">
        <f>AM46+AM47+AM48+AM49+AM50+AM51+AO46+AO47+AO48+AO49</f>
        <v>0</v>
      </c>
      <c r="AO50" s="1134"/>
      <c r="AP50" s="1143" t="str">
        <f>IF(AH46=0,"－",IF(AN50&lt;AC46,"エラー",0))</f>
        <v>－</v>
      </c>
      <c r="AQ50" s="1143">
        <f>IF(AP50="エラー",1,0)</f>
        <v>0</v>
      </c>
      <c r="AR50" s="12"/>
      <c r="AS50" s="28" t="s">
        <v>37</v>
      </c>
      <c r="AT50" s="29">
        <f t="shared" si="26"/>
        <v>0</v>
      </c>
      <c r="AU50" s="1133"/>
      <c r="AV50" s="1134"/>
      <c r="AW50" s="12"/>
      <c r="AX50" s="28" t="s">
        <v>37</v>
      </c>
      <c r="AY50" s="29">
        <f t="shared" si="27"/>
        <v>0</v>
      </c>
      <c r="AZ50" s="1133">
        <f>AY46+AY47+AY48+AY49+AY50+AY51+BA46+BA47+BA48+BA49</f>
        <v>0</v>
      </c>
      <c r="BA50" s="1134"/>
      <c r="BC50" s="12"/>
      <c r="BD50" s="56"/>
      <c r="BE50" s="12"/>
      <c r="BF50" s="1137"/>
      <c r="BG50" s="1138"/>
      <c r="BH50" s="50"/>
      <c r="BI50" s="12"/>
      <c r="BJ50" s="28" t="s">
        <v>37</v>
      </c>
      <c r="BK50" s="81">
        <f>U50+U51+W46+W47+W48+W49</f>
        <v>0</v>
      </c>
      <c r="BL50" s="1139"/>
      <c r="BM50" s="1141"/>
      <c r="BN50" s="12"/>
      <c r="BO50" s="28" t="s">
        <v>37</v>
      </c>
      <c r="BP50" s="29">
        <f>IF($BF$6=$BK$10,BK50,0)</f>
        <v>0</v>
      </c>
      <c r="BQ50" s="1133">
        <f>BP46+BP47+BP48+BP49+BP50+BP51+BR46+BR47+BR48+BR49</f>
        <v>0</v>
      </c>
      <c r="BR50" s="1134"/>
      <c r="BS50" s="1143" t="str">
        <f>IF(BK46=0,"－",IF(BQ50&lt;BF46,"エラー",0))</f>
        <v>－</v>
      </c>
      <c r="BT50" s="1143">
        <f>IF(BS50="エラー",1,0)</f>
        <v>0</v>
      </c>
      <c r="BU50" s="12"/>
      <c r="BV50" s="28" t="s">
        <v>37</v>
      </c>
      <c r="BW50" s="29">
        <f t="shared" si="28"/>
        <v>0</v>
      </c>
      <c r="BX50" s="1133"/>
      <c r="BY50" s="1134"/>
      <c r="BZ50" s="12"/>
      <c r="CA50" s="28" t="s">
        <v>37</v>
      </c>
      <c r="CB50" s="29">
        <f t="shared" si="29"/>
        <v>0</v>
      </c>
      <c r="CC50" s="1133">
        <f>CB46+CB47+CB48+CB49+CB50+CB51+CD46+CD47+CD48+CD49</f>
        <v>0</v>
      </c>
      <c r="CD50" s="1134"/>
      <c r="CE50" s="13"/>
    </row>
    <row r="51" spans="1:83" ht="23.25" customHeight="1">
      <c r="A51" s="1174"/>
      <c r="B51" s="1175"/>
      <c r="C51" s="1175"/>
      <c r="D51" s="1176"/>
      <c r="E51" s="1180"/>
      <c r="F51" s="1181"/>
      <c r="G51" s="1182"/>
      <c r="H51" s="128" t="s">
        <v>38</v>
      </c>
      <c r="I51" s="66">
        <f>IF($AA$1&gt;0,0,'医療分・支援・介護分（印刷））'!X61)</f>
        <v>0</v>
      </c>
      <c r="J51" s="1200"/>
      <c r="K51" s="1204"/>
      <c r="L51" s="65" t="s">
        <v>38</v>
      </c>
      <c r="M51" s="66">
        <f>IF($AA$1&gt;0,0,'医療分・支援・介護分（印刷））'!X150)</f>
        <v>0</v>
      </c>
      <c r="N51" s="1200"/>
      <c r="O51" s="1202"/>
      <c r="P51" s="65" t="s">
        <v>38</v>
      </c>
      <c r="Q51" s="66">
        <f>IF($AA$1&gt;0,0,'医療分・支援・介護分（印刷））'!X239)</f>
        <v>0</v>
      </c>
      <c r="R51" s="1200"/>
      <c r="S51" s="1202"/>
      <c r="T51" s="266" t="s">
        <v>38</v>
      </c>
      <c r="U51" s="129">
        <f t="shared" si="25"/>
        <v>0</v>
      </c>
      <c r="V51" s="1206"/>
      <c r="W51" s="1167"/>
      <c r="Y51" s="274" t="str">
        <f>IF(W50=0,"－",IF(F46=W50,"ＯＫ","エラー"))</f>
        <v>－</v>
      </c>
      <c r="AA51" s="56"/>
      <c r="AB51" s="12"/>
      <c r="AC51" s="12"/>
      <c r="AD51" s="12"/>
      <c r="AE51" s="12"/>
      <c r="AF51" s="12"/>
      <c r="AG51" s="65" t="s">
        <v>38</v>
      </c>
      <c r="AH51" s="132">
        <f>SUM(U46:U51)</f>
        <v>0</v>
      </c>
      <c r="AI51" s="1140"/>
      <c r="AJ51" s="1142"/>
      <c r="AK51" s="12"/>
      <c r="AL51" s="65" t="s">
        <v>38</v>
      </c>
      <c r="AM51" s="66">
        <f>IF($AC$6=$AH$11,AH51,0)</f>
        <v>0</v>
      </c>
      <c r="AN51" s="1135"/>
      <c r="AO51" s="1136"/>
      <c r="AP51" s="1144"/>
      <c r="AQ51" s="1144"/>
      <c r="AR51" s="12"/>
      <c r="AS51" s="65" t="s">
        <v>38</v>
      </c>
      <c r="AT51" s="66">
        <f t="shared" si="26"/>
        <v>0</v>
      </c>
      <c r="AU51" s="1135"/>
      <c r="AV51" s="1136"/>
      <c r="AW51" s="12"/>
      <c r="AX51" s="65" t="s">
        <v>38</v>
      </c>
      <c r="AY51" s="66">
        <f t="shared" si="27"/>
        <v>0</v>
      </c>
      <c r="AZ51" s="1135"/>
      <c r="BA51" s="1136"/>
      <c r="BC51" s="12"/>
      <c r="BD51" s="56"/>
      <c r="BE51" s="12"/>
      <c r="BF51" s="12"/>
      <c r="BG51" s="12"/>
      <c r="BH51" s="12"/>
      <c r="BI51" s="12"/>
      <c r="BJ51" s="65" t="s">
        <v>38</v>
      </c>
      <c r="BK51" s="132">
        <f>U51+W46+W47+W48+W49</f>
        <v>0</v>
      </c>
      <c r="BL51" s="1140"/>
      <c r="BM51" s="1142"/>
      <c r="BN51" s="12"/>
      <c r="BO51" s="65" t="s">
        <v>38</v>
      </c>
      <c r="BP51" s="66">
        <f>IF($BF$6=$BK$11,BK51,0)</f>
        <v>0</v>
      </c>
      <c r="BQ51" s="1135"/>
      <c r="BR51" s="1136"/>
      <c r="BS51" s="1144"/>
      <c r="BT51" s="1144"/>
      <c r="BU51" s="12"/>
      <c r="BV51" s="65" t="s">
        <v>38</v>
      </c>
      <c r="BW51" s="66">
        <f t="shared" si="28"/>
        <v>0</v>
      </c>
      <c r="BX51" s="1135"/>
      <c r="BY51" s="1136"/>
      <c r="BZ51" s="12"/>
      <c r="CA51" s="65" t="s">
        <v>38</v>
      </c>
      <c r="CB51" s="66">
        <f t="shared" si="29"/>
        <v>0</v>
      </c>
      <c r="CC51" s="1135"/>
      <c r="CD51" s="1136"/>
      <c r="CE51" s="13"/>
    </row>
    <row r="52" spans="1:83" ht="9.9499999999999993" customHeight="1">
      <c r="E52" s="68"/>
      <c r="F52" s="68"/>
      <c r="G52" s="18"/>
      <c r="AA52" s="56"/>
      <c r="AB52" s="12"/>
      <c r="AC52" s="12"/>
      <c r="AD52" s="12"/>
      <c r="AE52" s="12"/>
      <c r="AF52" s="12"/>
      <c r="AG52" s="4"/>
      <c r="AH52" s="4"/>
      <c r="AI52" s="4"/>
      <c r="AJ52" s="4"/>
      <c r="AK52" s="12"/>
      <c r="AL52" s="4"/>
      <c r="AM52" s="4"/>
      <c r="AN52" s="4"/>
      <c r="AO52" s="4"/>
      <c r="AP52" s="12"/>
      <c r="AQ52" s="12"/>
      <c r="AR52" s="12"/>
      <c r="AS52" s="4"/>
      <c r="AT52" s="4"/>
      <c r="AU52" s="4"/>
      <c r="AV52" s="4"/>
      <c r="AW52" s="12"/>
      <c r="AX52" s="4"/>
      <c r="AY52" s="4"/>
      <c r="AZ52" s="4"/>
      <c r="BA52" s="4"/>
      <c r="BC52" s="12"/>
      <c r="BD52" s="56"/>
      <c r="BE52" s="12"/>
      <c r="BF52" s="12"/>
      <c r="BG52" s="12"/>
      <c r="BH52" s="12"/>
      <c r="BI52" s="12"/>
      <c r="BJ52" s="4"/>
      <c r="BK52" s="4"/>
      <c r="BL52" s="4"/>
      <c r="BM52" s="4"/>
      <c r="BN52" s="12"/>
      <c r="BO52" s="4"/>
      <c r="BP52" s="4"/>
      <c r="BQ52" s="4"/>
      <c r="BR52" s="4"/>
      <c r="BS52" s="12"/>
      <c r="BT52" s="12"/>
      <c r="BU52" s="12"/>
      <c r="BV52" s="4"/>
      <c r="BW52" s="4"/>
      <c r="BX52" s="4"/>
      <c r="BY52" s="4"/>
      <c r="BZ52" s="12"/>
      <c r="CA52" s="4"/>
      <c r="CB52" s="4"/>
      <c r="CC52" s="4"/>
      <c r="CD52" s="4"/>
      <c r="CE52" s="13"/>
    </row>
    <row r="53" spans="1:83" ht="23.25" customHeight="1">
      <c r="A53" s="1197" t="s">
        <v>156</v>
      </c>
      <c r="B53" s="1194" t="s">
        <v>77</v>
      </c>
      <c r="C53" s="1194"/>
      <c r="D53" s="1194"/>
      <c r="E53" s="1216" t="s">
        <v>82</v>
      </c>
      <c r="F53" s="1217"/>
      <c r="G53" s="1218"/>
      <c r="H53" s="1164" t="s">
        <v>69</v>
      </c>
      <c r="I53" s="1164"/>
      <c r="J53" s="1164"/>
      <c r="K53" s="1164"/>
      <c r="L53" s="1163" t="s">
        <v>159</v>
      </c>
      <c r="M53" s="1164"/>
      <c r="N53" s="1164"/>
      <c r="O53" s="1165"/>
      <c r="P53" s="1163" t="s">
        <v>70</v>
      </c>
      <c r="Q53" s="1164"/>
      <c r="R53" s="1164"/>
      <c r="S53" s="1165"/>
      <c r="T53" s="1163" t="s">
        <v>76</v>
      </c>
      <c r="U53" s="1164"/>
      <c r="V53" s="1164"/>
      <c r="W53" s="1165"/>
      <c r="AA53" s="56"/>
      <c r="AB53" s="12"/>
      <c r="AC53" s="12"/>
      <c r="AD53" s="12"/>
      <c r="AE53" s="12"/>
      <c r="AF53" s="12"/>
      <c r="AG53" s="1146" t="s">
        <v>94</v>
      </c>
      <c r="AH53" s="1147"/>
      <c r="AI53" s="1147"/>
      <c r="AJ53" s="1148"/>
      <c r="AK53" s="12"/>
      <c r="AL53" s="1146" t="s">
        <v>95</v>
      </c>
      <c r="AM53" s="1147"/>
      <c r="AN53" s="1147"/>
      <c r="AO53" s="1148"/>
      <c r="AP53" s="12"/>
      <c r="AQ53" s="12"/>
      <c r="AR53" s="12"/>
      <c r="AS53" s="1146" t="s">
        <v>98</v>
      </c>
      <c r="AT53" s="1147"/>
      <c r="AU53" s="1147"/>
      <c r="AV53" s="1148"/>
      <c r="AW53" s="12"/>
      <c r="AX53" s="1146" t="s">
        <v>98</v>
      </c>
      <c r="AY53" s="1147"/>
      <c r="AZ53" s="1147"/>
      <c r="BA53" s="1148"/>
      <c r="BC53" s="12"/>
      <c r="BD53" s="56"/>
      <c r="BE53" s="12"/>
      <c r="BF53" s="12"/>
      <c r="BG53" s="12"/>
      <c r="BH53" s="12"/>
      <c r="BI53" s="12"/>
      <c r="BJ53" s="1146" t="s">
        <v>101</v>
      </c>
      <c r="BK53" s="1147"/>
      <c r="BL53" s="1147"/>
      <c r="BM53" s="1148"/>
      <c r="BN53" s="12"/>
      <c r="BO53" s="1146" t="s">
        <v>95</v>
      </c>
      <c r="BP53" s="1147"/>
      <c r="BQ53" s="1147"/>
      <c r="BR53" s="1148"/>
      <c r="BS53" s="12"/>
      <c r="BT53" s="12"/>
      <c r="BU53" s="12"/>
      <c r="BV53" s="1146" t="s">
        <v>98</v>
      </c>
      <c r="BW53" s="1147"/>
      <c r="BX53" s="1147"/>
      <c r="BY53" s="1148"/>
      <c r="BZ53" s="12"/>
      <c r="CA53" s="1146" t="s">
        <v>98</v>
      </c>
      <c r="CB53" s="1147"/>
      <c r="CC53" s="1147"/>
      <c r="CD53" s="1148"/>
      <c r="CE53" s="13"/>
    </row>
    <row r="54" spans="1:83" ht="23.25" customHeight="1">
      <c r="A54" s="1198"/>
      <c r="B54" s="1191">
        <f>入力画面!C37</f>
        <v>0</v>
      </c>
      <c r="C54" s="1186"/>
      <c r="D54" s="1195">
        <f>IF(F54&gt;0,"様",0)</f>
        <v>0</v>
      </c>
      <c r="E54" s="1207" t="s">
        <v>75</v>
      </c>
      <c r="F54" s="1209">
        <f>IF(AA1&gt;0,0,'医療分・支援・介護分（印刷））'!U70+'医療分・支援・介護分（印刷））'!U159+'医療分・支援・介護分（印刷））'!U248)</f>
        <v>0</v>
      </c>
      <c r="G54" s="1211" t="s">
        <v>6</v>
      </c>
      <c r="H54" s="82" t="s">
        <v>34</v>
      </c>
      <c r="I54" s="29">
        <f>IF($AA$1&gt;0,0,'医療分・支援・介護分（印刷））'!X66)</f>
        <v>0</v>
      </c>
      <c r="J54" s="30" t="s">
        <v>39</v>
      </c>
      <c r="K54" s="29">
        <f>IF($AA$1&gt;0,0,'医療分・支援・介護分（印刷））'!Z66)</f>
        <v>0</v>
      </c>
      <c r="L54" s="28" t="s">
        <v>34</v>
      </c>
      <c r="M54" s="29">
        <f>IF($AA$1&gt;0,0,'医療分・支援・介護分（印刷））'!X155)</f>
        <v>0</v>
      </c>
      <c r="N54" s="30" t="s">
        <v>39</v>
      </c>
      <c r="O54" s="31">
        <f>IF($AA$1&gt;0,0,'医療分・支援・介護分（印刷））'!Z155)</f>
        <v>0</v>
      </c>
      <c r="P54" s="28" t="s">
        <v>34</v>
      </c>
      <c r="Q54" s="29">
        <f>IF($AA$1&gt;0,0,'医療分・支援・介護分（印刷））'!X244)</f>
        <v>0</v>
      </c>
      <c r="R54" s="30" t="s">
        <v>39</v>
      </c>
      <c r="S54" s="29">
        <f>IF($AA$1&gt;0,0,'医療分・支援・介護分（印刷））'!Z244)</f>
        <v>0</v>
      </c>
      <c r="T54" s="260" t="s">
        <v>34</v>
      </c>
      <c r="U54" s="261">
        <f t="shared" ref="U54:U59" si="30">I54+M54+Q54</f>
        <v>0</v>
      </c>
      <c r="V54" s="262" t="s">
        <v>39</v>
      </c>
      <c r="W54" s="263">
        <f>K54+O54+S54</f>
        <v>0</v>
      </c>
      <c r="AA54" s="56"/>
      <c r="AB54" s="50"/>
      <c r="AC54" s="1149"/>
      <c r="AD54" s="1150"/>
      <c r="AE54" s="50"/>
      <c r="AF54" s="12"/>
      <c r="AG54" s="28" t="s">
        <v>34</v>
      </c>
      <c r="AH54" s="29">
        <f>U54</f>
        <v>0</v>
      </c>
      <c r="AI54" s="30" t="s">
        <v>39</v>
      </c>
      <c r="AJ54" s="31">
        <f>U54+U55+U56+U57+U58+U59+W54</f>
        <v>0</v>
      </c>
      <c r="AK54" s="12"/>
      <c r="AL54" s="28" t="s">
        <v>34</v>
      </c>
      <c r="AM54" s="29">
        <f>IF($AC$6=$AH$6,AH54,0)</f>
        <v>0</v>
      </c>
      <c r="AN54" s="30" t="s">
        <v>39</v>
      </c>
      <c r="AO54" s="31">
        <f>IF($AC$6=$AJ$6,AJ54,0)</f>
        <v>0</v>
      </c>
      <c r="AP54" s="12"/>
      <c r="AQ54" s="12"/>
      <c r="AR54" s="12"/>
      <c r="AS54" s="28" t="s">
        <v>34</v>
      </c>
      <c r="AT54" s="29">
        <f t="shared" ref="AT54:AT59" si="31">AT46</f>
        <v>0</v>
      </c>
      <c r="AU54" s="30" t="s">
        <v>39</v>
      </c>
      <c r="AV54" s="31">
        <f>AV46</f>
        <v>0</v>
      </c>
      <c r="AW54" s="12"/>
      <c r="AX54" s="28" t="s">
        <v>34</v>
      </c>
      <c r="AY54" s="29">
        <f t="shared" ref="AY54:AY59" si="32">IF(AT54=1,AH54,0)</f>
        <v>0</v>
      </c>
      <c r="AZ54" s="30" t="s">
        <v>39</v>
      </c>
      <c r="BA54" s="31">
        <f>IF(AV54=1,AJ54,0)</f>
        <v>0</v>
      </c>
      <c r="BC54" s="12"/>
      <c r="BD54" s="56"/>
      <c r="BE54" s="50"/>
      <c r="BF54" s="1149"/>
      <c r="BG54" s="1150"/>
      <c r="BH54" s="50"/>
      <c r="BI54" s="12"/>
      <c r="BJ54" s="28" t="s">
        <v>34</v>
      </c>
      <c r="BK54" s="29">
        <f>U54+U55+U56+U57+U58+U59+W54+W55+W56+W57</f>
        <v>0</v>
      </c>
      <c r="BL54" s="30" t="s">
        <v>39</v>
      </c>
      <c r="BM54" s="31">
        <f>SUM(W54:W57)</f>
        <v>0</v>
      </c>
      <c r="BN54" s="12"/>
      <c r="BO54" s="28" t="s">
        <v>34</v>
      </c>
      <c r="BP54" s="29">
        <f>IF($BF$6=$BK$6,BK54,0)</f>
        <v>0</v>
      </c>
      <c r="BQ54" s="30" t="s">
        <v>39</v>
      </c>
      <c r="BR54" s="31">
        <f>IF($BF$6=$BM$6,BM54,0)</f>
        <v>0</v>
      </c>
      <c r="BS54" s="12"/>
      <c r="BT54" s="12"/>
      <c r="BU54" s="12"/>
      <c r="BV54" s="28" t="s">
        <v>34</v>
      </c>
      <c r="BW54" s="29">
        <f t="shared" ref="BW54:BW59" si="33">BW46</f>
        <v>0</v>
      </c>
      <c r="BX54" s="30" t="s">
        <v>39</v>
      </c>
      <c r="BY54" s="31">
        <f>BY46</f>
        <v>0</v>
      </c>
      <c r="BZ54" s="12"/>
      <c r="CA54" s="28" t="s">
        <v>34</v>
      </c>
      <c r="CB54" s="29">
        <f t="shared" ref="CB54:CB59" si="34">IF(BW54=1,BK54,0)</f>
        <v>0</v>
      </c>
      <c r="CC54" s="30" t="s">
        <v>39</v>
      </c>
      <c r="CD54" s="31">
        <f>IF(BY54=1,BM54,0)</f>
        <v>0</v>
      </c>
      <c r="CE54" s="13"/>
    </row>
    <row r="55" spans="1:83" ht="23.25" customHeight="1">
      <c r="A55" s="1198"/>
      <c r="B55" s="1192"/>
      <c r="C55" s="1193"/>
      <c r="D55" s="1196"/>
      <c r="E55" s="1208"/>
      <c r="F55" s="1210"/>
      <c r="G55" s="1212"/>
      <c r="H55" s="82" t="s">
        <v>35</v>
      </c>
      <c r="I55" s="29">
        <f>IF($AA$1&gt;0,0,'医療分・支援・介護分（印刷））'!X67)</f>
        <v>0</v>
      </c>
      <c r="J55" s="30" t="s">
        <v>40</v>
      </c>
      <c r="K55" s="29">
        <f>IF($AA$1&gt;0,0,'医療分・支援・介護分（印刷））'!Z67)</f>
        <v>0</v>
      </c>
      <c r="L55" s="28" t="s">
        <v>35</v>
      </c>
      <c r="M55" s="29">
        <f>IF($AA$1&gt;0,0,'医療分・支援・介護分（印刷））'!X156)</f>
        <v>0</v>
      </c>
      <c r="N55" s="30" t="s">
        <v>40</v>
      </c>
      <c r="O55" s="31">
        <f>IF($AA$1&gt;0,0,'医療分・支援・介護分（印刷））'!Z156)</f>
        <v>0</v>
      </c>
      <c r="P55" s="28" t="s">
        <v>35</v>
      </c>
      <c r="Q55" s="29">
        <f>IF($AA$1&gt;0,0,'医療分・支援・介護分（印刷））'!X245)</f>
        <v>0</v>
      </c>
      <c r="R55" s="30" t="s">
        <v>40</v>
      </c>
      <c r="S55" s="29">
        <f>IF($AA$1&gt;0,0,'医療分・支援・介護分（印刷））'!Z245)</f>
        <v>0</v>
      </c>
      <c r="T55" s="264" t="s">
        <v>35</v>
      </c>
      <c r="U55" s="125">
        <f t="shared" si="30"/>
        <v>0</v>
      </c>
      <c r="V55" s="126" t="s">
        <v>40</v>
      </c>
      <c r="W55" s="127">
        <f>K55+O55+S55</f>
        <v>0</v>
      </c>
      <c r="AA55" s="56"/>
      <c r="AB55" s="12"/>
      <c r="AC55" s="1137"/>
      <c r="AD55" s="1138"/>
      <c r="AE55" s="50"/>
      <c r="AF55" s="12"/>
      <c r="AG55" s="28" t="s">
        <v>35</v>
      </c>
      <c r="AH55" s="29">
        <f>SUM(U54:U55)</f>
        <v>0</v>
      </c>
      <c r="AI55" s="30" t="s">
        <v>40</v>
      </c>
      <c r="AJ55" s="31">
        <f>U54+U55+U56+U57+U58+U59+W54+W55</f>
        <v>0</v>
      </c>
      <c r="AK55" s="12"/>
      <c r="AL55" s="28" t="s">
        <v>35</v>
      </c>
      <c r="AM55" s="29">
        <f>IF($AC$6=$AH$7,AH55,0)</f>
        <v>0</v>
      </c>
      <c r="AN55" s="30" t="s">
        <v>40</v>
      </c>
      <c r="AO55" s="31">
        <f>IF($AC$6=$AJ$7,AJ55,0)</f>
        <v>0</v>
      </c>
      <c r="AP55" s="12"/>
      <c r="AQ55" s="12"/>
      <c r="AR55" s="12"/>
      <c r="AS55" s="28" t="s">
        <v>35</v>
      </c>
      <c r="AT55" s="29">
        <f t="shared" si="31"/>
        <v>0</v>
      </c>
      <c r="AU55" s="30" t="s">
        <v>40</v>
      </c>
      <c r="AV55" s="31">
        <f>AV47</f>
        <v>0</v>
      </c>
      <c r="AW55" s="12"/>
      <c r="AX55" s="28" t="s">
        <v>35</v>
      </c>
      <c r="AY55" s="29">
        <f t="shared" si="32"/>
        <v>0</v>
      </c>
      <c r="AZ55" s="30" t="s">
        <v>40</v>
      </c>
      <c r="BA55" s="31">
        <f>IF(AV55=1,AJ55,0)</f>
        <v>0</v>
      </c>
      <c r="BC55" s="12"/>
      <c r="BD55" s="56"/>
      <c r="BE55" s="12"/>
      <c r="BF55" s="1137"/>
      <c r="BG55" s="1138"/>
      <c r="BH55" s="50"/>
      <c r="BI55" s="12"/>
      <c r="BJ55" s="28" t="s">
        <v>35</v>
      </c>
      <c r="BK55" s="29">
        <f>U55+U56+U57+U58+U59+W54+W55+W56+W57</f>
        <v>0</v>
      </c>
      <c r="BL55" s="30" t="s">
        <v>40</v>
      </c>
      <c r="BM55" s="31">
        <f>SUM(W55:W57)</f>
        <v>0</v>
      </c>
      <c r="BN55" s="12"/>
      <c r="BO55" s="28" t="s">
        <v>35</v>
      </c>
      <c r="BP55" s="29">
        <f>IF($BF$6=$BK$7,BK55,0)</f>
        <v>0</v>
      </c>
      <c r="BQ55" s="30" t="s">
        <v>40</v>
      </c>
      <c r="BR55" s="31">
        <f>IF($BF$6=$BM$7,BM55,0)</f>
        <v>0</v>
      </c>
      <c r="BS55" s="12"/>
      <c r="BT55" s="12"/>
      <c r="BU55" s="12"/>
      <c r="BV55" s="28" t="s">
        <v>35</v>
      </c>
      <c r="BW55" s="29">
        <f t="shared" si="33"/>
        <v>0</v>
      </c>
      <c r="BX55" s="30" t="s">
        <v>40</v>
      </c>
      <c r="BY55" s="31">
        <f>BY47</f>
        <v>0</v>
      </c>
      <c r="BZ55" s="12"/>
      <c r="CA55" s="28" t="s">
        <v>35</v>
      </c>
      <c r="CB55" s="29">
        <f t="shared" si="34"/>
        <v>0</v>
      </c>
      <c r="CC55" s="30" t="s">
        <v>40</v>
      </c>
      <c r="CD55" s="31">
        <f>IF(BY55=1,BM55,0)</f>
        <v>0</v>
      </c>
      <c r="CE55" s="13"/>
    </row>
    <row r="56" spans="1:83" ht="23.25" customHeight="1">
      <c r="A56" s="1185">
        <f>入力画面!$L$9</f>
        <v>0</v>
      </c>
      <c r="B56" s="1186"/>
      <c r="C56" s="1186"/>
      <c r="D56" s="1187"/>
      <c r="E56" s="1183" t="s">
        <v>97</v>
      </c>
      <c r="F56" s="1213">
        <f>AZ58+CC58</f>
        <v>0</v>
      </c>
      <c r="G56" s="1215" t="s">
        <v>6</v>
      </c>
      <c r="H56" s="82" t="s">
        <v>36</v>
      </c>
      <c r="I56" s="29">
        <f>IF($AA$1&gt;0,0,'医療分・支援・介護分（印刷））'!X68)</f>
        <v>0</v>
      </c>
      <c r="J56" s="30" t="s">
        <v>41</v>
      </c>
      <c r="K56" s="29">
        <f>IF($AA$1&gt;0,0,'医療分・支援・介護分（印刷））'!Z68)</f>
        <v>0</v>
      </c>
      <c r="L56" s="28" t="s">
        <v>36</v>
      </c>
      <c r="M56" s="29">
        <f>IF($AA$1&gt;0,0,'医療分・支援・介護分（印刷））'!X157)</f>
        <v>0</v>
      </c>
      <c r="N56" s="30" t="s">
        <v>41</v>
      </c>
      <c r="O56" s="31">
        <f>IF($AA$1&gt;0,0,'医療分・支援・介護分（印刷））'!Z157)</f>
        <v>0</v>
      </c>
      <c r="P56" s="28" t="s">
        <v>36</v>
      </c>
      <c r="Q56" s="29">
        <f>IF($AA$1&gt;0,0,'医療分・支援・介護分（印刷））'!X246)</f>
        <v>0</v>
      </c>
      <c r="R56" s="30" t="s">
        <v>41</v>
      </c>
      <c r="S56" s="29">
        <f>IF($AA$1&gt;0,0,'医療分・支援・介護分（印刷））'!Z246)</f>
        <v>0</v>
      </c>
      <c r="T56" s="264" t="s">
        <v>36</v>
      </c>
      <c r="U56" s="125">
        <f t="shared" si="30"/>
        <v>0</v>
      </c>
      <c r="V56" s="126" t="s">
        <v>41</v>
      </c>
      <c r="W56" s="127">
        <f>K56+O56+S56</f>
        <v>0</v>
      </c>
      <c r="AA56" s="56"/>
      <c r="AB56" s="12"/>
      <c r="AC56" s="1137"/>
      <c r="AD56" s="1138"/>
      <c r="AE56" s="50"/>
      <c r="AF56" s="12"/>
      <c r="AG56" s="28" t="s">
        <v>36</v>
      </c>
      <c r="AH56" s="29">
        <f>SUM(U54:U56)</f>
        <v>0</v>
      </c>
      <c r="AI56" s="30" t="s">
        <v>41</v>
      </c>
      <c r="AJ56" s="31">
        <f>U54+U55+U56+U57+U58+U59+W54+W55+W56</f>
        <v>0</v>
      </c>
      <c r="AK56" s="12"/>
      <c r="AL56" s="28" t="s">
        <v>36</v>
      </c>
      <c r="AM56" s="29">
        <f>IF($AC$6=$AH$8,AH56,0)</f>
        <v>0</v>
      </c>
      <c r="AN56" s="30" t="s">
        <v>41</v>
      </c>
      <c r="AO56" s="31">
        <f>IF($AC$6=$AJ$8,AJ56,0)</f>
        <v>0</v>
      </c>
      <c r="AP56" s="12"/>
      <c r="AQ56" s="12"/>
      <c r="AR56" s="12"/>
      <c r="AS56" s="28" t="s">
        <v>36</v>
      </c>
      <c r="AT56" s="29">
        <f t="shared" si="31"/>
        <v>0</v>
      </c>
      <c r="AU56" s="30" t="s">
        <v>41</v>
      </c>
      <c r="AV56" s="31">
        <f>AV48</f>
        <v>0</v>
      </c>
      <c r="AW56" s="12"/>
      <c r="AX56" s="28" t="s">
        <v>36</v>
      </c>
      <c r="AY56" s="29">
        <f t="shared" si="32"/>
        <v>0</v>
      </c>
      <c r="AZ56" s="30" t="s">
        <v>41</v>
      </c>
      <c r="BA56" s="31">
        <f>IF(AV56=1,AJ56,0)</f>
        <v>0</v>
      </c>
      <c r="BC56" s="12"/>
      <c r="BD56" s="56"/>
      <c r="BE56" s="12"/>
      <c r="BF56" s="1137"/>
      <c r="BG56" s="1138"/>
      <c r="BH56" s="50"/>
      <c r="BI56" s="12"/>
      <c r="BJ56" s="28" t="s">
        <v>36</v>
      </c>
      <c r="BK56" s="29">
        <f>U56+U57+U58+U59+W54+W55+W56+W57</f>
        <v>0</v>
      </c>
      <c r="BL56" s="30" t="s">
        <v>41</v>
      </c>
      <c r="BM56" s="31">
        <f>SUM(W56:W57)</f>
        <v>0</v>
      </c>
      <c r="BN56" s="12"/>
      <c r="BO56" s="28" t="s">
        <v>36</v>
      </c>
      <c r="BP56" s="29">
        <f>IF($BF$6=$BK$8,BK56,0)</f>
        <v>0</v>
      </c>
      <c r="BQ56" s="30" t="s">
        <v>41</v>
      </c>
      <c r="BR56" s="31">
        <f>IF($BF$6=$BM$8,BM56,0)</f>
        <v>0</v>
      </c>
      <c r="BS56" s="12"/>
      <c r="BT56" s="12"/>
      <c r="BU56" s="12"/>
      <c r="BV56" s="28" t="s">
        <v>36</v>
      </c>
      <c r="BW56" s="29">
        <f t="shared" si="33"/>
        <v>0</v>
      </c>
      <c r="BX56" s="30" t="s">
        <v>41</v>
      </c>
      <c r="BY56" s="31">
        <f>BY48</f>
        <v>0</v>
      </c>
      <c r="BZ56" s="12"/>
      <c r="CA56" s="28" t="s">
        <v>36</v>
      </c>
      <c r="CB56" s="29">
        <f t="shared" si="34"/>
        <v>0</v>
      </c>
      <c r="CC56" s="30" t="s">
        <v>41</v>
      </c>
      <c r="CD56" s="31">
        <f>IF(BY56=1,BM56,0)</f>
        <v>0</v>
      </c>
      <c r="CE56" s="13"/>
    </row>
    <row r="57" spans="1:83" ht="23.25" customHeight="1">
      <c r="A57" s="1188"/>
      <c r="B57" s="1189"/>
      <c r="C57" s="1189"/>
      <c r="D57" s="1190"/>
      <c r="E57" s="1184"/>
      <c r="F57" s="1214"/>
      <c r="G57" s="1215"/>
      <c r="H57" s="82" t="s">
        <v>43</v>
      </c>
      <c r="I57" s="29">
        <f>IF($AA$1&gt;0,0,'医療分・支援・介護分（印刷））'!X69)</f>
        <v>0</v>
      </c>
      <c r="J57" s="30" t="s">
        <v>42</v>
      </c>
      <c r="K57" s="29">
        <f>IF($AA$1&gt;0,0,'医療分・支援・介護分（印刷））'!Z69)</f>
        <v>0</v>
      </c>
      <c r="L57" s="28" t="s">
        <v>43</v>
      </c>
      <c r="M57" s="29">
        <f>IF($AA$1&gt;0,0,'医療分・支援・介護分（印刷））'!X158)</f>
        <v>0</v>
      </c>
      <c r="N57" s="30" t="s">
        <v>42</v>
      </c>
      <c r="O57" s="31">
        <f>IF($AA$1&gt;0,0,'医療分・支援・介護分（印刷））'!Z158)</f>
        <v>0</v>
      </c>
      <c r="P57" s="28" t="s">
        <v>43</v>
      </c>
      <c r="Q57" s="29">
        <f>IF($AA$1&gt;0,0,'医療分・支援・介護分（印刷））'!X247)</f>
        <v>0</v>
      </c>
      <c r="R57" s="30" t="s">
        <v>42</v>
      </c>
      <c r="S57" s="29">
        <f>IF($AA$1&gt;0,0,'医療分・支援・介護分（印刷））'!Z247)</f>
        <v>0</v>
      </c>
      <c r="T57" s="264" t="s">
        <v>43</v>
      </c>
      <c r="U57" s="125">
        <f t="shared" si="30"/>
        <v>0</v>
      </c>
      <c r="V57" s="265" t="s">
        <v>42</v>
      </c>
      <c r="W57" s="127">
        <f>K57+O57+S57</f>
        <v>0</v>
      </c>
      <c r="AA57" s="56"/>
      <c r="AB57" s="12"/>
      <c r="AC57" s="1145"/>
      <c r="AD57" s="1145"/>
      <c r="AE57" s="1145"/>
      <c r="AF57" s="12"/>
      <c r="AG57" s="28" t="s">
        <v>43</v>
      </c>
      <c r="AH57" s="29">
        <f>SUM(U54:U57)</f>
        <v>0</v>
      </c>
      <c r="AI57" s="133" t="s">
        <v>93</v>
      </c>
      <c r="AJ57" s="144">
        <f>U54+U55+U56+U57+U58+U59+W54+W55+W56+W57</f>
        <v>0</v>
      </c>
      <c r="AK57" s="12"/>
      <c r="AL57" s="28" t="s">
        <v>43</v>
      </c>
      <c r="AM57" s="29">
        <f>IF($AC$6=$AH$9,AH57,0)</f>
        <v>0</v>
      </c>
      <c r="AN57" s="133" t="s">
        <v>93</v>
      </c>
      <c r="AO57" s="31">
        <f>IF($AC$6=$AJ$9,AJ57,0)</f>
        <v>0</v>
      </c>
      <c r="AP57" s="12"/>
      <c r="AQ57" s="12"/>
      <c r="AR57" s="12"/>
      <c r="AS57" s="28" t="s">
        <v>43</v>
      </c>
      <c r="AT57" s="29">
        <f t="shared" si="31"/>
        <v>0</v>
      </c>
      <c r="AU57" s="133" t="s">
        <v>93</v>
      </c>
      <c r="AV57" s="31">
        <f>AV49</f>
        <v>0</v>
      </c>
      <c r="AW57" s="12"/>
      <c r="AX57" s="28" t="s">
        <v>43</v>
      </c>
      <c r="AY57" s="29">
        <f t="shared" si="32"/>
        <v>0</v>
      </c>
      <c r="AZ57" s="133" t="s">
        <v>93</v>
      </c>
      <c r="BA57" s="31">
        <f>IF(AV57=1,AJ57,0)</f>
        <v>0</v>
      </c>
      <c r="BC57" s="12"/>
      <c r="BD57" s="56"/>
      <c r="BE57" s="12"/>
      <c r="BF57" s="1145"/>
      <c r="BG57" s="1145"/>
      <c r="BH57" s="1145"/>
      <c r="BI57" s="12"/>
      <c r="BJ57" s="28" t="s">
        <v>43</v>
      </c>
      <c r="BK57" s="29">
        <f>U57+U58+U59+W54+W55+W56+W57</f>
        <v>0</v>
      </c>
      <c r="BL57" s="30" t="s">
        <v>42</v>
      </c>
      <c r="BM57" s="144">
        <f>W57</f>
        <v>0</v>
      </c>
      <c r="BN57" s="12"/>
      <c r="BO57" s="28" t="s">
        <v>43</v>
      </c>
      <c r="BP57" s="29">
        <f>IF($BF$6=$BK$9,BK57,0)</f>
        <v>0</v>
      </c>
      <c r="BQ57" s="133" t="s">
        <v>93</v>
      </c>
      <c r="BR57" s="31">
        <f>IF($BF$6=$BM$9,BM57,0)</f>
        <v>0</v>
      </c>
      <c r="BS57" s="12"/>
      <c r="BT57" s="12"/>
      <c r="BU57" s="12"/>
      <c r="BV57" s="28" t="s">
        <v>43</v>
      </c>
      <c r="BW57" s="29">
        <f t="shared" si="33"/>
        <v>0</v>
      </c>
      <c r="BX57" s="133" t="s">
        <v>93</v>
      </c>
      <c r="BY57" s="31">
        <f>BY49</f>
        <v>0</v>
      </c>
      <c r="BZ57" s="12"/>
      <c r="CA57" s="28" t="s">
        <v>43</v>
      </c>
      <c r="CB57" s="29">
        <f t="shared" si="34"/>
        <v>0</v>
      </c>
      <c r="CC57" s="133" t="s">
        <v>93</v>
      </c>
      <c r="CD57" s="31">
        <f>IF(BY57=1,BM57,0)</f>
        <v>0</v>
      </c>
      <c r="CE57" s="13"/>
    </row>
    <row r="58" spans="1:83" ht="23.25" customHeight="1">
      <c r="A58" s="1171">
        <f>IF((Q55+Q56+Q57+Q58+Q59+S54+S55+S56+S57)&lt;0,"介護該当者は①から順に入力してください｡",0)</f>
        <v>0</v>
      </c>
      <c r="B58" s="1172"/>
      <c r="C58" s="1172"/>
      <c r="D58" s="1173"/>
      <c r="E58" s="1177">
        <f>IF(AQ58=1,"＊入金額エラー＊",0)</f>
        <v>0</v>
      </c>
      <c r="F58" s="1178"/>
      <c r="G58" s="1179"/>
      <c r="H58" s="82" t="s">
        <v>37</v>
      </c>
      <c r="I58" s="29">
        <f>IF($AA$1&gt;0,0,'医療分・支援・介護分（印刷））'!X70)</f>
        <v>0</v>
      </c>
      <c r="J58" s="1199" t="s">
        <v>44</v>
      </c>
      <c r="K58" s="1203">
        <f>IF(AA1&gt;0,0,'医療分・支援・介護分（印刷））'!Z70)</f>
        <v>0</v>
      </c>
      <c r="L58" s="28" t="s">
        <v>37</v>
      </c>
      <c r="M58" s="29">
        <f>IF($AA$1&gt;0,0,'医療分・支援・介護分（印刷））'!X159)</f>
        <v>0</v>
      </c>
      <c r="N58" s="1199" t="s">
        <v>44</v>
      </c>
      <c r="O58" s="1201">
        <f>IF($AA$1&gt;0,0,'医療分・支援・介護分（印刷））'!Z159)</f>
        <v>0</v>
      </c>
      <c r="P58" s="28" t="s">
        <v>37</v>
      </c>
      <c r="Q58" s="29">
        <f>IF($AA$1&gt;0,0,'医療分・支援・介護分（印刷））'!X248)</f>
        <v>0</v>
      </c>
      <c r="R58" s="1199" t="s">
        <v>44</v>
      </c>
      <c r="S58" s="1201">
        <f>IF(AA1&gt;0,0,'医療分・支援・介護分（印刷））'!Z248)</f>
        <v>0</v>
      </c>
      <c r="T58" s="264" t="s">
        <v>37</v>
      </c>
      <c r="U58" s="125">
        <f t="shared" si="30"/>
        <v>0</v>
      </c>
      <c r="V58" s="1205" t="s">
        <v>44</v>
      </c>
      <c r="W58" s="1166">
        <f>K58+O58+S58</f>
        <v>0</v>
      </c>
      <c r="AA58" s="56"/>
      <c r="AB58" s="12"/>
      <c r="AC58" s="1137"/>
      <c r="AD58" s="1138"/>
      <c r="AE58" s="50"/>
      <c r="AF58" s="12"/>
      <c r="AG58" s="28" t="s">
        <v>37</v>
      </c>
      <c r="AH58" s="81">
        <f>SUM(U54:U58)</f>
        <v>0</v>
      </c>
      <c r="AI58" s="1139"/>
      <c r="AJ58" s="1141"/>
      <c r="AK58" s="12"/>
      <c r="AL58" s="28" t="s">
        <v>37</v>
      </c>
      <c r="AM58" s="29">
        <f>IF($AC$6=$AH$10,AH58,0)</f>
        <v>0</v>
      </c>
      <c r="AN58" s="1133">
        <f>AM54+AM55+AM56+AM57+AM58+AM59+AO54+AO55+AO56+AO57</f>
        <v>0</v>
      </c>
      <c r="AO58" s="1134"/>
      <c r="AP58" s="1143" t="str">
        <f>IF(AH54=0,"－",IF(AN58&lt;AC54,"エラー",0))</f>
        <v>－</v>
      </c>
      <c r="AQ58" s="1143">
        <f>IF(AP58="エラー",1,0)</f>
        <v>0</v>
      </c>
      <c r="AR58" s="12"/>
      <c r="AS58" s="28" t="s">
        <v>37</v>
      </c>
      <c r="AT58" s="29">
        <f t="shared" si="31"/>
        <v>0</v>
      </c>
      <c r="AU58" s="1133"/>
      <c r="AV58" s="1134"/>
      <c r="AW58" s="12"/>
      <c r="AX58" s="28" t="s">
        <v>37</v>
      </c>
      <c r="AY58" s="29">
        <f t="shared" si="32"/>
        <v>0</v>
      </c>
      <c r="AZ58" s="1133">
        <f>AY54+AY55+AY56+AY57+AY58+AY59+BA54+BA55+BA56+BA57</f>
        <v>0</v>
      </c>
      <c r="BA58" s="1134"/>
      <c r="BC58" s="12"/>
      <c r="BD58" s="56"/>
      <c r="BE58" s="12"/>
      <c r="BF58" s="1137"/>
      <c r="BG58" s="1138"/>
      <c r="BH58" s="50"/>
      <c r="BI58" s="12"/>
      <c r="BJ58" s="28" t="s">
        <v>37</v>
      </c>
      <c r="BK58" s="81">
        <f>U58+U59+W54+W55+W56+W57</f>
        <v>0</v>
      </c>
      <c r="BL58" s="1139"/>
      <c r="BM58" s="1141"/>
      <c r="BN58" s="12"/>
      <c r="BO58" s="28" t="s">
        <v>37</v>
      </c>
      <c r="BP58" s="29">
        <f>IF($BF$6=$BK$10,BK58,0)</f>
        <v>0</v>
      </c>
      <c r="BQ58" s="1133">
        <f>BP54+BP55+BP56+BP57+BP58+BP59+BR54+BR55+BR56+BR57</f>
        <v>0</v>
      </c>
      <c r="BR58" s="1134"/>
      <c r="BS58" s="1143" t="str">
        <f>IF(BK54=0,"－",IF(BQ58&lt;BF54,"エラー",0))</f>
        <v>－</v>
      </c>
      <c r="BT58" s="1143">
        <f>IF(BS58="エラー",1,0)</f>
        <v>0</v>
      </c>
      <c r="BU58" s="12"/>
      <c r="BV58" s="28" t="s">
        <v>37</v>
      </c>
      <c r="BW58" s="29">
        <f t="shared" si="33"/>
        <v>0</v>
      </c>
      <c r="BX58" s="1133"/>
      <c r="BY58" s="1134"/>
      <c r="BZ58" s="12"/>
      <c r="CA58" s="28" t="s">
        <v>37</v>
      </c>
      <c r="CB58" s="29">
        <f t="shared" si="34"/>
        <v>0</v>
      </c>
      <c r="CC58" s="1133">
        <f>CB54+CB55+CB56+CB57+CB58+CB59+CD54+CD55+CD56+CD57</f>
        <v>0</v>
      </c>
      <c r="CD58" s="1134"/>
      <c r="CE58" s="13"/>
    </row>
    <row r="59" spans="1:83" ht="23.25" customHeight="1">
      <c r="A59" s="1174"/>
      <c r="B59" s="1175"/>
      <c r="C59" s="1175"/>
      <c r="D59" s="1176"/>
      <c r="E59" s="1180"/>
      <c r="F59" s="1181"/>
      <c r="G59" s="1182"/>
      <c r="H59" s="128" t="s">
        <v>38</v>
      </c>
      <c r="I59" s="66">
        <f>IF($AA$1&gt;0,0,'医療分・支援・介護分（印刷））'!X71)</f>
        <v>0</v>
      </c>
      <c r="J59" s="1200"/>
      <c r="K59" s="1204"/>
      <c r="L59" s="65" t="s">
        <v>38</v>
      </c>
      <c r="M59" s="66">
        <f>IF($AA$1&gt;0,0,'医療分・支援・介護分（印刷））'!X160)</f>
        <v>0</v>
      </c>
      <c r="N59" s="1200"/>
      <c r="O59" s="1202"/>
      <c r="P59" s="65" t="s">
        <v>38</v>
      </c>
      <c r="Q59" s="66">
        <f>IF($AA$1&gt;0,0,'医療分・支援・介護分（印刷））'!X249)</f>
        <v>0</v>
      </c>
      <c r="R59" s="1200"/>
      <c r="S59" s="1202"/>
      <c r="T59" s="266" t="s">
        <v>38</v>
      </c>
      <c r="U59" s="129">
        <f t="shared" si="30"/>
        <v>0</v>
      </c>
      <c r="V59" s="1206"/>
      <c r="W59" s="1167"/>
      <c r="Y59" s="274" t="str">
        <f>IF(W58=0,"－",IF(F54=W58,"ＯＫ","エラー"))</f>
        <v>－</v>
      </c>
      <c r="AA59" s="56"/>
      <c r="AB59" s="12"/>
      <c r="AC59" s="12"/>
      <c r="AD59" s="12"/>
      <c r="AE59" s="12"/>
      <c r="AF59" s="12"/>
      <c r="AG59" s="65" t="s">
        <v>38</v>
      </c>
      <c r="AH59" s="132">
        <f>SUM(U54:U59)</f>
        <v>0</v>
      </c>
      <c r="AI59" s="1140"/>
      <c r="AJ59" s="1142"/>
      <c r="AK59" s="12"/>
      <c r="AL59" s="65" t="s">
        <v>38</v>
      </c>
      <c r="AM59" s="66">
        <f>IF($AC$6=$AH$11,AH59,0)</f>
        <v>0</v>
      </c>
      <c r="AN59" s="1135"/>
      <c r="AO59" s="1136"/>
      <c r="AP59" s="1144"/>
      <c r="AQ59" s="1144"/>
      <c r="AR59" s="12"/>
      <c r="AS59" s="65" t="s">
        <v>38</v>
      </c>
      <c r="AT59" s="66">
        <f t="shared" si="31"/>
        <v>0</v>
      </c>
      <c r="AU59" s="1135"/>
      <c r="AV59" s="1136"/>
      <c r="AW59" s="12"/>
      <c r="AX59" s="65" t="s">
        <v>38</v>
      </c>
      <c r="AY59" s="66">
        <f t="shared" si="32"/>
        <v>0</v>
      </c>
      <c r="AZ59" s="1135"/>
      <c r="BA59" s="1136"/>
      <c r="BC59" s="12"/>
      <c r="BD59" s="56"/>
      <c r="BE59" s="12"/>
      <c r="BF59" s="12"/>
      <c r="BG59" s="12"/>
      <c r="BH59" s="12"/>
      <c r="BI59" s="12"/>
      <c r="BJ59" s="65" t="s">
        <v>38</v>
      </c>
      <c r="BK59" s="132">
        <f>U59+W54+W55+W56+W57</f>
        <v>0</v>
      </c>
      <c r="BL59" s="1140"/>
      <c r="BM59" s="1142"/>
      <c r="BN59" s="12"/>
      <c r="BO59" s="65" t="s">
        <v>38</v>
      </c>
      <c r="BP59" s="66">
        <f>IF($BF$6=$BK$11,BK59,0)</f>
        <v>0</v>
      </c>
      <c r="BQ59" s="1135"/>
      <c r="BR59" s="1136"/>
      <c r="BS59" s="1144"/>
      <c r="BT59" s="1144"/>
      <c r="BU59" s="12"/>
      <c r="BV59" s="65" t="s">
        <v>38</v>
      </c>
      <c r="BW59" s="66">
        <f t="shared" si="33"/>
        <v>0</v>
      </c>
      <c r="BX59" s="1135"/>
      <c r="BY59" s="1136"/>
      <c r="BZ59" s="12"/>
      <c r="CA59" s="65" t="s">
        <v>38</v>
      </c>
      <c r="CB59" s="66">
        <f t="shared" si="34"/>
        <v>0</v>
      </c>
      <c r="CC59" s="1135"/>
      <c r="CD59" s="1136"/>
      <c r="CE59" s="13"/>
    </row>
    <row r="60" spans="1:83" ht="9.9499999999999993" customHeight="1">
      <c r="E60" s="68"/>
      <c r="F60" s="68"/>
      <c r="G60" s="18"/>
      <c r="AA60" s="56"/>
      <c r="AB60" s="12"/>
      <c r="AC60" s="12"/>
      <c r="AD60" s="12"/>
      <c r="AE60" s="12"/>
      <c r="AF60" s="12"/>
      <c r="AG60" s="4"/>
      <c r="AH60" s="4"/>
      <c r="AI60" s="4"/>
      <c r="AJ60" s="4"/>
      <c r="AK60" s="12"/>
      <c r="AL60" s="4"/>
      <c r="AM60" s="4"/>
      <c r="AN60" s="4"/>
      <c r="AO60" s="4"/>
      <c r="AP60" s="12"/>
      <c r="AQ60" s="12"/>
      <c r="AR60" s="12"/>
      <c r="AS60" s="4"/>
      <c r="AT60" s="4"/>
      <c r="AU60" s="4"/>
      <c r="AV60" s="4"/>
      <c r="AW60" s="12"/>
      <c r="AX60" s="4"/>
      <c r="AY60" s="4"/>
      <c r="AZ60" s="4"/>
      <c r="BA60" s="4"/>
      <c r="BC60" s="12"/>
      <c r="BD60" s="56"/>
      <c r="BE60" s="12"/>
      <c r="BF60" s="12"/>
      <c r="BG60" s="12"/>
      <c r="BH60" s="12"/>
      <c r="BI60" s="12"/>
      <c r="BJ60" s="4"/>
      <c r="BK60" s="4"/>
      <c r="BL60" s="4"/>
      <c r="BM60" s="4"/>
      <c r="BN60" s="12"/>
      <c r="BO60" s="4"/>
      <c r="BP60" s="4"/>
      <c r="BQ60" s="4"/>
      <c r="BR60" s="4"/>
      <c r="BS60" s="12"/>
      <c r="BT60" s="12"/>
      <c r="BU60" s="12"/>
      <c r="BV60" s="4"/>
      <c r="BW60" s="4"/>
      <c r="BX60" s="4"/>
      <c r="BY60" s="4"/>
      <c r="BZ60" s="12"/>
      <c r="CA60" s="4"/>
      <c r="CB60" s="4"/>
      <c r="CC60" s="4"/>
      <c r="CD60" s="4"/>
      <c r="CE60" s="13"/>
    </row>
    <row r="61" spans="1:83" ht="23.25" customHeight="1">
      <c r="A61" s="1197" t="s">
        <v>157</v>
      </c>
      <c r="B61" s="1194" t="s">
        <v>77</v>
      </c>
      <c r="C61" s="1194"/>
      <c r="D61" s="1194"/>
      <c r="E61" s="1216" t="s">
        <v>82</v>
      </c>
      <c r="F61" s="1217"/>
      <c r="G61" s="1218"/>
      <c r="H61" s="1164" t="s">
        <v>69</v>
      </c>
      <c r="I61" s="1164"/>
      <c r="J61" s="1164"/>
      <c r="K61" s="1164"/>
      <c r="L61" s="1163" t="s">
        <v>159</v>
      </c>
      <c r="M61" s="1164"/>
      <c r="N61" s="1164"/>
      <c r="O61" s="1165"/>
      <c r="P61" s="1163" t="s">
        <v>70</v>
      </c>
      <c r="Q61" s="1164"/>
      <c r="R61" s="1164"/>
      <c r="S61" s="1165"/>
      <c r="T61" s="1163" t="s">
        <v>76</v>
      </c>
      <c r="U61" s="1164"/>
      <c r="V61" s="1164"/>
      <c r="W61" s="1165"/>
      <c r="AA61" s="56"/>
      <c r="AB61" s="12"/>
      <c r="AC61" s="12"/>
      <c r="AD61" s="12"/>
      <c r="AE61" s="12"/>
      <c r="AF61" s="12"/>
      <c r="AG61" s="1146" t="s">
        <v>94</v>
      </c>
      <c r="AH61" s="1147"/>
      <c r="AI61" s="1147"/>
      <c r="AJ61" s="1148"/>
      <c r="AK61" s="12"/>
      <c r="AL61" s="1146" t="s">
        <v>95</v>
      </c>
      <c r="AM61" s="1147"/>
      <c r="AN61" s="1147"/>
      <c r="AO61" s="1148"/>
      <c r="AP61" s="12"/>
      <c r="AQ61" s="12"/>
      <c r="AR61" s="12"/>
      <c r="AS61" s="1146" t="s">
        <v>98</v>
      </c>
      <c r="AT61" s="1147"/>
      <c r="AU61" s="1147"/>
      <c r="AV61" s="1148"/>
      <c r="AW61" s="12"/>
      <c r="AX61" s="1146" t="s">
        <v>98</v>
      </c>
      <c r="AY61" s="1147"/>
      <c r="AZ61" s="1147"/>
      <c r="BA61" s="1148"/>
      <c r="BC61" s="12"/>
      <c r="BD61" s="56"/>
      <c r="BE61" s="12"/>
      <c r="BF61" s="12"/>
      <c r="BG61" s="12"/>
      <c r="BH61" s="12"/>
      <c r="BI61" s="12"/>
      <c r="BJ61" s="1146" t="s">
        <v>101</v>
      </c>
      <c r="BK61" s="1147"/>
      <c r="BL61" s="1147"/>
      <c r="BM61" s="1148"/>
      <c r="BN61" s="12"/>
      <c r="BO61" s="1146" t="s">
        <v>95</v>
      </c>
      <c r="BP61" s="1147"/>
      <c r="BQ61" s="1147"/>
      <c r="BR61" s="1148"/>
      <c r="BS61" s="12"/>
      <c r="BT61" s="12"/>
      <c r="BU61" s="12"/>
      <c r="BV61" s="1146" t="s">
        <v>98</v>
      </c>
      <c r="BW61" s="1147"/>
      <c r="BX61" s="1147"/>
      <c r="BY61" s="1148"/>
      <c r="BZ61" s="12"/>
      <c r="CA61" s="1146" t="s">
        <v>98</v>
      </c>
      <c r="CB61" s="1147"/>
      <c r="CC61" s="1147"/>
      <c r="CD61" s="1148"/>
      <c r="CE61" s="13"/>
    </row>
    <row r="62" spans="1:83" ht="23.25" customHeight="1">
      <c r="A62" s="1198"/>
      <c r="B62" s="1191">
        <f>入力画面!C42</f>
        <v>0</v>
      </c>
      <c r="C62" s="1186"/>
      <c r="D62" s="1195">
        <f>IF(F62&gt;0,"様",0)</f>
        <v>0</v>
      </c>
      <c r="E62" s="1207" t="s">
        <v>75</v>
      </c>
      <c r="F62" s="1209">
        <f>IF(AA1&gt;0,0,'医療分・支援・介護分（印刷））'!U80+'医療分・支援・介護分（印刷））'!U169+'医療分・支援・介護分（印刷））'!U258)</f>
        <v>0</v>
      </c>
      <c r="G62" s="1211" t="s">
        <v>6</v>
      </c>
      <c r="H62" s="82" t="s">
        <v>34</v>
      </c>
      <c r="I62" s="29">
        <f>IF($AA$1&gt;0,0,'医療分・支援・介護分（印刷））'!X76)</f>
        <v>0</v>
      </c>
      <c r="J62" s="30" t="s">
        <v>39</v>
      </c>
      <c r="K62" s="29">
        <f>IF($AA$1&gt;0,0,'医療分・支援・介護分（印刷））'!Z76)</f>
        <v>0</v>
      </c>
      <c r="L62" s="28" t="s">
        <v>34</v>
      </c>
      <c r="M62" s="29">
        <f>IF($AA$1&gt;0,0,'医療分・支援・介護分（印刷））'!X165)</f>
        <v>0</v>
      </c>
      <c r="N62" s="30" t="s">
        <v>39</v>
      </c>
      <c r="O62" s="31">
        <f>IF($AA$1&gt;0,0,'医療分・支援・介護分（印刷））'!Z165)</f>
        <v>0</v>
      </c>
      <c r="P62" s="28" t="s">
        <v>34</v>
      </c>
      <c r="Q62" s="29">
        <f>IF($AA$1&gt;0,0,'医療分・支援・介護分（印刷））'!X254)</f>
        <v>0</v>
      </c>
      <c r="R62" s="30" t="s">
        <v>39</v>
      </c>
      <c r="S62" s="29">
        <f>IF($AA$1&gt;0,0,'医療分・支援・介護分（印刷））'!Z254)</f>
        <v>0</v>
      </c>
      <c r="T62" s="260" t="s">
        <v>34</v>
      </c>
      <c r="U62" s="261">
        <f t="shared" ref="U62:U67" si="35">I62+M62+Q62</f>
        <v>0</v>
      </c>
      <c r="V62" s="262" t="s">
        <v>39</v>
      </c>
      <c r="W62" s="263">
        <f>K62+O62+S62</f>
        <v>0</v>
      </c>
      <c r="AA62" s="56"/>
      <c r="AB62" s="50"/>
      <c r="AC62" s="1149"/>
      <c r="AD62" s="1150"/>
      <c r="AE62" s="50"/>
      <c r="AF62" s="12"/>
      <c r="AG62" s="28" t="s">
        <v>34</v>
      </c>
      <c r="AH62" s="29">
        <f>U62</f>
        <v>0</v>
      </c>
      <c r="AI62" s="30" t="s">
        <v>39</v>
      </c>
      <c r="AJ62" s="31">
        <f>U62+U63+U64+U65+U66+U67+W62</f>
        <v>0</v>
      </c>
      <c r="AK62" s="12"/>
      <c r="AL62" s="28" t="s">
        <v>34</v>
      </c>
      <c r="AM62" s="29">
        <f>IF($AC$6=$AH$6,AH62,0)</f>
        <v>0</v>
      </c>
      <c r="AN62" s="30" t="s">
        <v>39</v>
      </c>
      <c r="AO62" s="31">
        <f>IF($AC$6=$AJ$6,AJ62,0)</f>
        <v>0</v>
      </c>
      <c r="AP62" s="12"/>
      <c r="AQ62" s="12"/>
      <c r="AR62" s="12"/>
      <c r="AS62" s="28" t="s">
        <v>34</v>
      </c>
      <c r="AT62" s="29">
        <f t="shared" ref="AT62:AT67" si="36">AT54</f>
        <v>0</v>
      </c>
      <c r="AU62" s="30" t="s">
        <v>39</v>
      </c>
      <c r="AV62" s="31">
        <f>AV54</f>
        <v>0</v>
      </c>
      <c r="AW62" s="12"/>
      <c r="AX62" s="28" t="s">
        <v>34</v>
      </c>
      <c r="AY62" s="29">
        <f t="shared" ref="AY62:AY67" si="37">IF(AT62=1,AH62,0)</f>
        <v>0</v>
      </c>
      <c r="AZ62" s="30" t="s">
        <v>39</v>
      </c>
      <c r="BA62" s="31">
        <f>IF(AV62=1,AJ62,0)</f>
        <v>0</v>
      </c>
      <c r="BC62" s="12"/>
      <c r="BD62" s="56"/>
      <c r="BE62" s="50"/>
      <c r="BF62" s="1149"/>
      <c r="BG62" s="1150"/>
      <c r="BH62" s="50"/>
      <c r="BI62" s="12"/>
      <c r="BJ62" s="28" t="s">
        <v>34</v>
      </c>
      <c r="BK62" s="29">
        <f>U62+U63+U64+U65+U66+U67+W62+W63+W64+W65</f>
        <v>0</v>
      </c>
      <c r="BL62" s="30" t="s">
        <v>39</v>
      </c>
      <c r="BM62" s="31">
        <f>SUM(W62:W65)</f>
        <v>0</v>
      </c>
      <c r="BN62" s="12"/>
      <c r="BO62" s="28" t="s">
        <v>34</v>
      </c>
      <c r="BP62" s="29">
        <f>IF($BF$6=$BK$6,BK62,0)</f>
        <v>0</v>
      </c>
      <c r="BQ62" s="30" t="s">
        <v>39</v>
      </c>
      <c r="BR62" s="31">
        <f>IF($BF$6=$BM$6,BM62,0)</f>
        <v>0</v>
      </c>
      <c r="BS62" s="12"/>
      <c r="BT62" s="12"/>
      <c r="BU62" s="12"/>
      <c r="BV62" s="28" t="s">
        <v>34</v>
      </c>
      <c r="BW62" s="29">
        <f t="shared" ref="BW62:BW67" si="38">BW54</f>
        <v>0</v>
      </c>
      <c r="BX62" s="30" t="s">
        <v>39</v>
      </c>
      <c r="BY62" s="31">
        <f>BY54</f>
        <v>0</v>
      </c>
      <c r="BZ62" s="12"/>
      <c r="CA62" s="28" t="s">
        <v>34</v>
      </c>
      <c r="CB62" s="29">
        <f t="shared" ref="CB62:CB67" si="39">IF(BW62=1,BK62,0)</f>
        <v>0</v>
      </c>
      <c r="CC62" s="30" t="s">
        <v>39</v>
      </c>
      <c r="CD62" s="31">
        <f>IF(BY62=1,BM62,0)</f>
        <v>0</v>
      </c>
      <c r="CE62" s="13"/>
    </row>
    <row r="63" spans="1:83" ht="23.25" customHeight="1">
      <c r="A63" s="1198"/>
      <c r="B63" s="1192"/>
      <c r="C63" s="1193"/>
      <c r="D63" s="1196"/>
      <c r="E63" s="1208"/>
      <c r="F63" s="1210"/>
      <c r="G63" s="1212"/>
      <c r="H63" s="82" t="s">
        <v>35</v>
      </c>
      <c r="I63" s="29">
        <f>IF($AA$1&gt;0,0,'医療分・支援・介護分（印刷））'!X77)</f>
        <v>0</v>
      </c>
      <c r="J63" s="30" t="s">
        <v>40</v>
      </c>
      <c r="K63" s="29">
        <f>IF($AA$1&gt;0,0,'医療分・支援・介護分（印刷））'!Z77)</f>
        <v>0</v>
      </c>
      <c r="L63" s="28" t="s">
        <v>35</v>
      </c>
      <c r="M63" s="29">
        <f>IF($AA$1&gt;0,0,'医療分・支援・介護分（印刷））'!X166)</f>
        <v>0</v>
      </c>
      <c r="N63" s="30" t="s">
        <v>40</v>
      </c>
      <c r="O63" s="31">
        <f>IF($AA$1&gt;0,0,'医療分・支援・介護分（印刷））'!Z166)</f>
        <v>0</v>
      </c>
      <c r="P63" s="28" t="s">
        <v>35</v>
      </c>
      <c r="Q63" s="29">
        <f>IF($AA$1&gt;0,0,'医療分・支援・介護分（印刷））'!X255)</f>
        <v>0</v>
      </c>
      <c r="R63" s="30" t="s">
        <v>40</v>
      </c>
      <c r="S63" s="29">
        <f>IF($AA$1&gt;0,0,'医療分・支援・介護分（印刷））'!Z255)</f>
        <v>0</v>
      </c>
      <c r="T63" s="264" t="s">
        <v>35</v>
      </c>
      <c r="U63" s="125">
        <f t="shared" si="35"/>
        <v>0</v>
      </c>
      <c r="V63" s="126" t="s">
        <v>40</v>
      </c>
      <c r="W63" s="127">
        <f>K63+O63+S63</f>
        <v>0</v>
      </c>
      <c r="AA63" s="56"/>
      <c r="AB63" s="12"/>
      <c r="AC63" s="1137"/>
      <c r="AD63" s="1138"/>
      <c r="AE63" s="50"/>
      <c r="AF63" s="12"/>
      <c r="AG63" s="28" t="s">
        <v>35</v>
      </c>
      <c r="AH63" s="29">
        <f>SUM(U62:U63)</f>
        <v>0</v>
      </c>
      <c r="AI63" s="30" t="s">
        <v>40</v>
      </c>
      <c r="AJ63" s="31">
        <f>U62+U63+U64+U65+U66+U67+W62+W63</f>
        <v>0</v>
      </c>
      <c r="AK63" s="12"/>
      <c r="AL63" s="28" t="s">
        <v>35</v>
      </c>
      <c r="AM63" s="29">
        <f>IF($AC$6=$AH$7,AH63,0)</f>
        <v>0</v>
      </c>
      <c r="AN63" s="30" t="s">
        <v>40</v>
      </c>
      <c r="AO63" s="31">
        <f>IF($AC$6=$AJ$7,AJ63,0)</f>
        <v>0</v>
      </c>
      <c r="AP63" s="12"/>
      <c r="AQ63" s="12"/>
      <c r="AR63" s="12"/>
      <c r="AS63" s="28" t="s">
        <v>35</v>
      </c>
      <c r="AT63" s="29">
        <f t="shared" si="36"/>
        <v>0</v>
      </c>
      <c r="AU63" s="30" t="s">
        <v>40</v>
      </c>
      <c r="AV63" s="31">
        <f>AV55</f>
        <v>0</v>
      </c>
      <c r="AW63" s="12"/>
      <c r="AX63" s="28" t="s">
        <v>35</v>
      </c>
      <c r="AY63" s="29">
        <f t="shared" si="37"/>
        <v>0</v>
      </c>
      <c r="AZ63" s="30" t="s">
        <v>40</v>
      </c>
      <c r="BA63" s="31">
        <f>IF(AV63=1,AJ63,0)</f>
        <v>0</v>
      </c>
      <c r="BC63" s="12"/>
      <c r="BD63" s="56"/>
      <c r="BE63" s="12"/>
      <c r="BF63" s="1137"/>
      <c r="BG63" s="1138"/>
      <c r="BH63" s="50"/>
      <c r="BI63" s="12"/>
      <c r="BJ63" s="28" t="s">
        <v>35</v>
      </c>
      <c r="BK63" s="29">
        <f>U63+U64+U65+U66+U67+W62+W63+W64+W65</f>
        <v>0</v>
      </c>
      <c r="BL63" s="30" t="s">
        <v>40</v>
      </c>
      <c r="BM63" s="31">
        <f>SUM(W63:W65)</f>
        <v>0</v>
      </c>
      <c r="BN63" s="12"/>
      <c r="BO63" s="28" t="s">
        <v>35</v>
      </c>
      <c r="BP63" s="29">
        <f>IF($BF$6=$BK$7,BK63,0)</f>
        <v>0</v>
      </c>
      <c r="BQ63" s="30" t="s">
        <v>40</v>
      </c>
      <c r="BR63" s="31">
        <f>IF($BF$6=$BM$7,BM63,0)</f>
        <v>0</v>
      </c>
      <c r="BS63" s="12"/>
      <c r="BT63" s="12"/>
      <c r="BU63" s="12"/>
      <c r="BV63" s="28" t="s">
        <v>35</v>
      </c>
      <c r="BW63" s="29">
        <f t="shared" si="38"/>
        <v>0</v>
      </c>
      <c r="BX63" s="30" t="s">
        <v>40</v>
      </c>
      <c r="BY63" s="31">
        <f>BY55</f>
        <v>0</v>
      </c>
      <c r="BZ63" s="12"/>
      <c r="CA63" s="28" t="s">
        <v>35</v>
      </c>
      <c r="CB63" s="29">
        <f t="shared" si="39"/>
        <v>0</v>
      </c>
      <c r="CC63" s="30" t="s">
        <v>40</v>
      </c>
      <c r="CD63" s="31">
        <f>IF(BY63=1,BM63,0)</f>
        <v>0</v>
      </c>
      <c r="CE63" s="13"/>
    </row>
    <row r="64" spans="1:83" ht="23.25" customHeight="1">
      <c r="A64" s="1185">
        <f>入力画面!$L$9</f>
        <v>0</v>
      </c>
      <c r="B64" s="1186"/>
      <c r="C64" s="1186"/>
      <c r="D64" s="1187"/>
      <c r="E64" s="1183" t="s">
        <v>97</v>
      </c>
      <c r="F64" s="1213">
        <f>AZ66+CC66</f>
        <v>0</v>
      </c>
      <c r="G64" s="1215" t="s">
        <v>6</v>
      </c>
      <c r="H64" s="82" t="s">
        <v>36</v>
      </c>
      <c r="I64" s="29">
        <f>IF($AA$1&gt;0,0,'医療分・支援・介護分（印刷））'!X78)</f>
        <v>0</v>
      </c>
      <c r="J64" s="30" t="s">
        <v>41</v>
      </c>
      <c r="K64" s="29">
        <f>IF($AA$1&gt;0,0,'医療分・支援・介護分（印刷））'!Z78)</f>
        <v>0</v>
      </c>
      <c r="L64" s="28" t="s">
        <v>36</v>
      </c>
      <c r="M64" s="29">
        <f>IF($AA$1&gt;0,0,'医療分・支援・介護分（印刷））'!X167)</f>
        <v>0</v>
      </c>
      <c r="N64" s="30" t="s">
        <v>41</v>
      </c>
      <c r="O64" s="31">
        <f>IF($AA$1&gt;0,0,'医療分・支援・介護分（印刷））'!Z167)</f>
        <v>0</v>
      </c>
      <c r="P64" s="28" t="s">
        <v>36</v>
      </c>
      <c r="Q64" s="29">
        <f>IF($AA$1&gt;0,0,'医療分・支援・介護分（印刷））'!X256)</f>
        <v>0</v>
      </c>
      <c r="R64" s="30" t="s">
        <v>41</v>
      </c>
      <c r="S64" s="29">
        <f>IF($AA$1&gt;0,0,'医療分・支援・介護分（印刷））'!Z256)</f>
        <v>0</v>
      </c>
      <c r="T64" s="264" t="s">
        <v>36</v>
      </c>
      <c r="U64" s="125">
        <f t="shared" si="35"/>
        <v>0</v>
      </c>
      <c r="V64" s="126" t="s">
        <v>41</v>
      </c>
      <c r="W64" s="127">
        <f>K64+O64+S64</f>
        <v>0</v>
      </c>
      <c r="AA64" s="56"/>
      <c r="AB64" s="12"/>
      <c r="AC64" s="1137"/>
      <c r="AD64" s="1138"/>
      <c r="AE64" s="50"/>
      <c r="AF64" s="12"/>
      <c r="AG64" s="28" t="s">
        <v>36</v>
      </c>
      <c r="AH64" s="29">
        <f>SUM(U62:U64)</f>
        <v>0</v>
      </c>
      <c r="AI64" s="30" t="s">
        <v>41</v>
      </c>
      <c r="AJ64" s="31">
        <f>U62+U63+U64+U65+U66+U67+W62+W63+W64</f>
        <v>0</v>
      </c>
      <c r="AK64" s="12"/>
      <c r="AL64" s="28" t="s">
        <v>36</v>
      </c>
      <c r="AM64" s="29">
        <f>IF($AC$6=$AH$8,AH64,0)</f>
        <v>0</v>
      </c>
      <c r="AN64" s="30" t="s">
        <v>41</v>
      </c>
      <c r="AO64" s="31">
        <f>IF($AC$6=$AJ$8,AJ64,0)</f>
        <v>0</v>
      </c>
      <c r="AP64" s="12"/>
      <c r="AQ64" s="12"/>
      <c r="AR64" s="12"/>
      <c r="AS64" s="28" t="s">
        <v>36</v>
      </c>
      <c r="AT64" s="29">
        <f t="shared" si="36"/>
        <v>0</v>
      </c>
      <c r="AU64" s="30" t="s">
        <v>41</v>
      </c>
      <c r="AV64" s="31">
        <f>AV56</f>
        <v>0</v>
      </c>
      <c r="AW64" s="12"/>
      <c r="AX64" s="28" t="s">
        <v>36</v>
      </c>
      <c r="AY64" s="29">
        <f t="shared" si="37"/>
        <v>0</v>
      </c>
      <c r="AZ64" s="30" t="s">
        <v>41</v>
      </c>
      <c r="BA64" s="31">
        <f>IF(AV64=1,AJ64,0)</f>
        <v>0</v>
      </c>
      <c r="BC64" s="12"/>
      <c r="BD64" s="56"/>
      <c r="BE64" s="12"/>
      <c r="BF64" s="1137"/>
      <c r="BG64" s="1138"/>
      <c r="BH64" s="50"/>
      <c r="BI64" s="12"/>
      <c r="BJ64" s="28" t="s">
        <v>36</v>
      </c>
      <c r="BK64" s="29">
        <f>U64+U65+U66+U67+W62+W63+W64+W65</f>
        <v>0</v>
      </c>
      <c r="BL64" s="30" t="s">
        <v>41</v>
      </c>
      <c r="BM64" s="31">
        <f>SUM(W64:W65)</f>
        <v>0</v>
      </c>
      <c r="BN64" s="12"/>
      <c r="BO64" s="28" t="s">
        <v>36</v>
      </c>
      <c r="BP64" s="29">
        <f>IF($BF$6=$BK$8,BK64,0)</f>
        <v>0</v>
      </c>
      <c r="BQ64" s="30" t="s">
        <v>41</v>
      </c>
      <c r="BR64" s="31">
        <f>IF($BF$6=$BM$8,BM64,0)</f>
        <v>0</v>
      </c>
      <c r="BS64" s="12"/>
      <c r="BT64" s="12"/>
      <c r="BU64" s="12"/>
      <c r="BV64" s="28" t="s">
        <v>36</v>
      </c>
      <c r="BW64" s="29">
        <f t="shared" si="38"/>
        <v>0</v>
      </c>
      <c r="BX64" s="30" t="s">
        <v>41</v>
      </c>
      <c r="BY64" s="31">
        <f>BY56</f>
        <v>0</v>
      </c>
      <c r="BZ64" s="12"/>
      <c r="CA64" s="28" t="s">
        <v>36</v>
      </c>
      <c r="CB64" s="29">
        <f t="shared" si="39"/>
        <v>0</v>
      </c>
      <c r="CC64" s="30" t="s">
        <v>41</v>
      </c>
      <c r="CD64" s="31">
        <f>IF(BY64=1,BM64,0)</f>
        <v>0</v>
      </c>
      <c r="CE64" s="13"/>
    </row>
    <row r="65" spans="1:83" ht="23.25" customHeight="1">
      <c r="A65" s="1188"/>
      <c r="B65" s="1189"/>
      <c r="C65" s="1189"/>
      <c r="D65" s="1190"/>
      <c r="E65" s="1184"/>
      <c r="F65" s="1214"/>
      <c r="G65" s="1215"/>
      <c r="H65" s="82" t="s">
        <v>43</v>
      </c>
      <c r="I65" s="29">
        <f>IF($AA$1&gt;0,0,'医療分・支援・介護分（印刷））'!X79)</f>
        <v>0</v>
      </c>
      <c r="J65" s="30" t="s">
        <v>42</v>
      </c>
      <c r="K65" s="29">
        <f>IF($AA$1&gt;0,0,'医療分・支援・介護分（印刷））'!Z79)</f>
        <v>0</v>
      </c>
      <c r="L65" s="28" t="s">
        <v>43</v>
      </c>
      <c r="M65" s="29">
        <f>IF($AA$1&gt;0,0,'医療分・支援・介護分（印刷））'!X168)</f>
        <v>0</v>
      </c>
      <c r="N65" s="30" t="s">
        <v>42</v>
      </c>
      <c r="O65" s="31">
        <f>IF($AA$1&gt;0,0,'医療分・支援・介護分（印刷））'!Z168)</f>
        <v>0</v>
      </c>
      <c r="P65" s="28" t="s">
        <v>43</v>
      </c>
      <c r="Q65" s="29">
        <f>IF($AA$1&gt;0,0,'医療分・支援・介護分（印刷））'!X257)</f>
        <v>0</v>
      </c>
      <c r="R65" s="30" t="s">
        <v>42</v>
      </c>
      <c r="S65" s="29">
        <f>IF($AA$1&gt;0,0,'医療分・支援・介護分（印刷））'!Z257)</f>
        <v>0</v>
      </c>
      <c r="T65" s="264" t="s">
        <v>43</v>
      </c>
      <c r="U65" s="125">
        <f t="shared" si="35"/>
        <v>0</v>
      </c>
      <c r="V65" s="265" t="s">
        <v>42</v>
      </c>
      <c r="W65" s="127">
        <f>K65+O65+S65</f>
        <v>0</v>
      </c>
      <c r="AA65" s="56"/>
      <c r="AB65" s="12"/>
      <c r="AC65" s="1145"/>
      <c r="AD65" s="1145"/>
      <c r="AE65" s="1145"/>
      <c r="AF65" s="12"/>
      <c r="AG65" s="28" t="s">
        <v>43</v>
      </c>
      <c r="AH65" s="29">
        <f>SUM(U62:U65)</f>
        <v>0</v>
      </c>
      <c r="AI65" s="133" t="s">
        <v>93</v>
      </c>
      <c r="AJ65" s="144">
        <f>U62+U63+U64+U65+U66+U67+W62+W63+W64+W65</f>
        <v>0</v>
      </c>
      <c r="AK65" s="12"/>
      <c r="AL65" s="28" t="s">
        <v>43</v>
      </c>
      <c r="AM65" s="29">
        <f>IF($AC$6=$AH$9,AH65,0)</f>
        <v>0</v>
      </c>
      <c r="AN65" s="133" t="s">
        <v>93</v>
      </c>
      <c r="AO65" s="31">
        <f>IF($AC$6=$AJ$9,AJ65,0)</f>
        <v>0</v>
      </c>
      <c r="AP65" s="12"/>
      <c r="AQ65" s="12"/>
      <c r="AR65" s="12"/>
      <c r="AS65" s="28" t="s">
        <v>43</v>
      </c>
      <c r="AT65" s="29">
        <f t="shared" si="36"/>
        <v>0</v>
      </c>
      <c r="AU65" s="133" t="s">
        <v>93</v>
      </c>
      <c r="AV65" s="31">
        <f>AV57</f>
        <v>0</v>
      </c>
      <c r="AW65" s="12"/>
      <c r="AX65" s="28" t="s">
        <v>43</v>
      </c>
      <c r="AY65" s="29">
        <f t="shared" si="37"/>
        <v>0</v>
      </c>
      <c r="AZ65" s="133" t="s">
        <v>93</v>
      </c>
      <c r="BA65" s="31">
        <f>IF(AV65=1,AJ65,0)</f>
        <v>0</v>
      </c>
      <c r="BC65" s="12"/>
      <c r="BD65" s="56"/>
      <c r="BE65" s="12"/>
      <c r="BF65" s="1145"/>
      <c r="BG65" s="1145"/>
      <c r="BH65" s="1145"/>
      <c r="BI65" s="12"/>
      <c r="BJ65" s="28" t="s">
        <v>43</v>
      </c>
      <c r="BK65" s="29">
        <f>U65+U66+U67+W62+W63+W64+W65</f>
        <v>0</v>
      </c>
      <c r="BL65" s="30" t="s">
        <v>42</v>
      </c>
      <c r="BM65" s="144">
        <f>W65</f>
        <v>0</v>
      </c>
      <c r="BN65" s="12"/>
      <c r="BO65" s="28" t="s">
        <v>43</v>
      </c>
      <c r="BP65" s="29">
        <f>IF($BF$6=$BK$9,BK65,0)</f>
        <v>0</v>
      </c>
      <c r="BQ65" s="133" t="s">
        <v>93</v>
      </c>
      <c r="BR65" s="31">
        <f>IF($BF$6=$BM$9,BM65,0)</f>
        <v>0</v>
      </c>
      <c r="BS65" s="12"/>
      <c r="BT65" s="12"/>
      <c r="BU65" s="12"/>
      <c r="BV65" s="28" t="s">
        <v>43</v>
      </c>
      <c r="BW65" s="29">
        <f t="shared" si="38"/>
        <v>0</v>
      </c>
      <c r="BX65" s="133" t="s">
        <v>93</v>
      </c>
      <c r="BY65" s="31">
        <f>BY57</f>
        <v>0</v>
      </c>
      <c r="BZ65" s="12"/>
      <c r="CA65" s="28" t="s">
        <v>43</v>
      </c>
      <c r="CB65" s="29">
        <f t="shared" si="39"/>
        <v>0</v>
      </c>
      <c r="CC65" s="133" t="s">
        <v>93</v>
      </c>
      <c r="CD65" s="31">
        <f>IF(BY65=1,BM65,0)</f>
        <v>0</v>
      </c>
      <c r="CE65" s="13"/>
    </row>
    <row r="66" spans="1:83" ht="23.25" customHeight="1">
      <c r="A66" s="1171">
        <f>IF((Q63+Q64+Q65+Q66+Q67+S62+S63+S64+S65)&lt;0,"介護該当者は①から順に入力してください｡",0)</f>
        <v>0</v>
      </c>
      <c r="B66" s="1172"/>
      <c r="C66" s="1172"/>
      <c r="D66" s="1173"/>
      <c r="E66" s="1177">
        <f>IF(AQ66=1,"＊入金額エラー＊",0)</f>
        <v>0</v>
      </c>
      <c r="F66" s="1178"/>
      <c r="G66" s="1179"/>
      <c r="H66" s="82" t="s">
        <v>37</v>
      </c>
      <c r="I66" s="29">
        <f>IF($AA$1&gt;0,0,'医療分・支援・介護分（印刷））'!X80)</f>
        <v>0</v>
      </c>
      <c r="J66" s="1199" t="s">
        <v>44</v>
      </c>
      <c r="K66" s="1203">
        <f>IF(AA1&gt;0,0,'医療分・支援・介護分（印刷））'!Z80)</f>
        <v>0</v>
      </c>
      <c r="L66" s="28" t="s">
        <v>37</v>
      </c>
      <c r="M66" s="29">
        <f>IF($AA$1&gt;0,0,'医療分・支援・介護分（印刷））'!X169)</f>
        <v>0</v>
      </c>
      <c r="N66" s="1199" t="s">
        <v>44</v>
      </c>
      <c r="O66" s="1201">
        <f>IF($AA$1&gt;0,0,'医療分・支援・介護分（印刷））'!Z169)</f>
        <v>0</v>
      </c>
      <c r="P66" s="28" t="s">
        <v>37</v>
      </c>
      <c r="Q66" s="29">
        <f>IF($AA$1&gt;0,0,'医療分・支援・介護分（印刷））'!X258)</f>
        <v>0</v>
      </c>
      <c r="R66" s="1199" t="s">
        <v>44</v>
      </c>
      <c r="S66" s="1201">
        <f>IF(AA1&gt;0,0,'医療分・支援・介護分（印刷））'!Z258)</f>
        <v>0</v>
      </c>
      <c r="T66" s="264" t="s">
        <v>37</v>
      </c>
      <c r="U66" s="125">
        <f t="shared" si="35"/>
        <v>0</v>
      </c>
      <c r="V66" s="1205" t="s">
        <v>44</v>
      </c>
      <c r="W66" s="1166">
        <f>K66+O66+S66</f>
        <v>0</v>
      </c>
      <c r="AA66" s="56"/>
      <c r="AB66" s="12"/>
      <c r="AC66" s="1137"/>
      <c r="AD66" s="1138"/>
      <c r="AE66" s="50"/>
      <c r="AF66" s="12"/>
      <c r="AG66" s="28" t="s">
        <v>37</v>
      </c>
      <c r="AH66" s="81">
        <f>SUM(U62:U66)</f>
        <v>0</v>
      </c>
      <c r="AI66" s="1139"/>
      <c r="AJ66" s="1141"/>
      <c r="AK66" s="12"/>
      <c r="AL66" s="28" t="s">
        <v>37</v>
      </c>
      <c r="AM66" s="29">
        <f>IF($AC$6=$AH$10,AH66,0)</f>
        <v>0</v>
      </c>
      <c r="AN66" s="1133">
        <f>AM62+AM63+AM64+AM65+AM66+AM67+AO62+AO63+AO64+AO65</f>
        <v>0</v>
      </c>
      <c r="AO66" s="1134"/>
      <c r="AP66" s="1143" t="str">
        <f>IF(AH62=0,"－",IF(AN66&lt;AC62,"エラー",0))</f>
        <v>－</v>
      </c>
      <c r="AQ66" s="1143">
        <f>IF(AP66="エラー",1,0)</f>
        <v>0</v>
      </c>
      <c r="AR66" s="12"/>
      <c r="AS66" s="28" t="s">
        <v>37</v>
      </c>
      <c r="AT66" s="29">
        <f t="shared" si="36"/>
        <v>0</v>
      </c>
      <c r="AU66" s="1133"/>
      <c r="AV66" s="1134"/>
      <c r="AW66" s="12"/>
      <c r="AX66" s="28" t="s">
        <v>37</v>
      </c>
      <c r="AY66" s="29">
        <f t="shared" si="37"/>
        <v>0</v>
      </c>
      <c r="AZ66" s="1133">
        <f>AY62+AY63+AY64+AY65+AY66+AY67+BA62+BA63+BA64+BA65</f>
        <v>0</v>
      </c>
      <c r="BA66" s="1134"/>
      <c r="BC66" s="12"/>
      <c r="BD66" s="56"/>
      <c r="BE66" s="12"/>
      <c r="BF66" s="1137"/>
      <c r="BG66" s="1138"/>
      <c r="BH66" s="50"/>
      <c r="BI66" s="12"/>
      <c r="BJ66" s="28" t="s">
        <v>37</v>
      </c>
      <c r="BK66" s="81">
        <f>U66+U67+W62+W63+W64+W65</f>
        <v>0</v>
      </c>
      <c r="BL66" s="1139"/>
      <c r="BM66" s="1141"/>
      <c r="BN66" s="12"/>
      <c r="BO66" s="28" t="s">
        <v>37</v>
      </c>
      <c r="BP66" s="29">
        <f>IF($BF$6=$BK$10,BK66,0)</f>
        <v>0</v>
      </c>
      <c r="BQ66" s="1133">
        <f>BP62+BP63+BP64+BP65+BP66+BP67+BR62+BR63+BR64+BR65</f>
        <v>0</v>
      </c>
      <c r="BR66" s="1134"/>
      <c r="BS66" s="1143" t="str">
        <f>IF(BK62=0,"－",IF(BQ66&lt;BF62,"エラー",0))</f>
        <v>－</v>
      </c>
      <c r="BT66" s="1143">
        <f>IF(BS66="エラー",1,0)</f>
        <v>0</v>
      </c>
      <c r="BU66" s="12"/>
      <c r="BV66" s="28" t="s">
        <v>37</v>
      </c>
      <c r="BW66" s="29">
        <f t="shared" si="38"/>
        <v>0</v>
      </c>
      <c r="BX66" s="1133"/>
      <c r="BY66" s="1134"/>
      <c r="BZ66" s="12"/>
      <c r="CA66" s="28" t="s">
        <v>37</v>
      </c>
      <c r="CB66" s="29">
        <f t="shared" si="39"/>
        <v>0</v>
      </c>
      <c r="CC66" s="1133">
        <f>CB62+CB63+CB64+CB65+CB66+CB67+CD62+CD63+CD64+CD65</f>
        <v>0</v>
      </c>
      <c r="CD66" s="1134"/>
      <c r="CE66" s="13"/>
    </row>
    <row r="67" spans="1:83" ht="23.25" customHeight="1">
      <c r="A67" s="1174"/>
      <c r="B67" s="1175"/>
      <c r="C67" s="1175"/>
      <c r="D67" s="1176"/>
      <c r="E67" s="1180"/>
      <c r="F67" s="1181"/>
      <c r="G67" s="1182"/>
      <c r="H67" s="128" t="s">
        <v>38</v>
      </c>
      <c r="I67" s="66">
        <f>IF($AA$1&gt;0,0,'医療分・支援・介護分（印刷））'!X81)</f>
        <v>0</v>
      </c>
      <c r="J67" s="1200"/>
      <c r="K67" s="1204"/>
      <c r="L67" s="65" t="s">
        <v>38</v>
      </c>
      <c r="M67" s="66">
        <f>IF($AA$1&gt;0,0,'医療分・支援・介護分（印刷））'!X170)</f>
        <v>0</v>
      </c>
      <c r="N67" s="1200"/>
      <c r="O67" s="1202"/>
      <c r="P67" s="65" t="s">
        <v>38</v>
      </c>
      <c r="Q67" s="66">
        <f>IF($AA$1&gt;0,0,'医療分・支援・介護分（印刷））'!X259)</f>
        <v>0</v>
      </c>
      <c r="R67" s="1200"/>
      <c r="S67" s="1202"/>
      <c r="T67" s="266" t="s">
        <v>38</v>
      </c>
      <c r="U67" s="129">
        <f t="shared" si="35"/>
        <v>0</v>
      </c>
      <c r="V67" s="1206"/>
      <c r="W67" s="1167"/>
      <c r="Y67" s="274" t="str">
        <f>IF(W66=0,"－",IF(F62=W66,"ＯＫ","エラー"))</f>
        <v>－</v>
      </c>
      <c r="AA67" s="56"/>
      <c r="AB67" s="12"/>
      <c r="AC67" s="12"/>
      <c r="AD67" s="12"/>
      <c r="AE67" s="12"/>
      <c r="AF67" s="12"/>
      <c r="AG67" s="65" t="s">
        <v>38</v>
      </c>
      <c r="AH67" s="132">
        <f>SUM(U62:U67)</f>
        <v>0</v>
      </c>
      <c r="AI67" s="1140"/>
      <c r="AJ67" s="1142"/>
      <c r="AK67" s="12"/>
      <c r="AL67" s="65" t="s">
        <v>38</v>
      </c>
      <c r="AM67" s="66">
        <f>IF($AC$6=$AH$11,AH67,0)</f>
        <v>0</v>
      </c>
      <c r="AN67" s="1135"/>
      <c r="AO67" s="1136"/>
      <c r="AP67" s="1144"/>
      <c r="AQ67" s="1144"/>
      <c r="AR67" s="12"/>
      <c r="AS67" s="65" t="s">
        <v>38</v>
      </c>
      <c r="AT67" s="66">
        <f t="shared" si="36"/>
        <v>0</v>
      </c>
      <c r="AU67" s="1135"/>
      <c r="AV67" s="1136"/>
      <c r="AW67" s="12"/>
      <c r="AX67" s="65" t="s">
        <v>38</v>
      </c>
      <c r="AY67" s="66">
        <f t="shared" si="37"/>
        <v>0</v>
      </c>
      <c r="AZ67" s="1135"/>
      <c r="BA67" s="1136"/>
      <c r="BC67" s="12"/>
      <c r="BD67" s="56"/>
      <c r="BE67" s="12"/>
      <c r="BF67" s="12"/>
      <c r="BG67" s="12"/>
      <c r="BH67" s="12"/>
      <c r="BI67" s="12"/>
      <c r="BJ67" s="65" t="s">
        <v>38</v>
      </c>
      <c r="BK67" s="132">
        <f>U67+W62+W63+W64+W65</f>
        <v>0</v>
      </c>
      <c r="BL67" s="1140"/>
      <c r="BM67" s="1142"/>
      <c r="BN67" s="12"/>
      <c r="BO67" s="65" t="s">
        <v>38</v>
      </c>
      <c r="BP67" s="66">
        <f>IF($BF$6=$BK$11,BK67,0)</f>
        <v>0</v>
      </c>
      <c r="BQ67" s="1135"/>
      <c r="BR67" s="1136"/>
      <c r="BS67" s="1144"/>
      <c r="BT67" s="1144"/>
      <c r="BU67" s="12"/>
      <c r="BV67" s="65" t="s">
        <v>38</v>
      </c>
      <c r="BW67" s="66">
        <f t="shared" si="38"/>
        <v>0</v>
      </c>
      <c r="BX67" s="1135"/>
      <c r="BY67" s="1136"/>
      <c r="BZ67" s="12"/>
      <c r="CA67" s="65" t="s">
        <v>38</v>
      </c>
      <c r="CB67" s="66">
        <f t="shared" si="39"/>
        <v>0</v>
      </c>
      <c r="CC67" s="1135"/>
      <c r="CD67" s="1136"/>
      <c r="CE67" s="13"/>
    </row>
    <row r="68" spans="1:83" ht="17.25" customHeight="1" thickBot="1">
      <c r="E68" s="68"/>
      <c r="F68" s="68"/>
      <c r="AA68" s="120"/>
      <c r="AB68" s="122"/>
      <c r="AC68" s="122"/>
      <c r="AD68" s="122"/>
      <c r="AE68" s="122"/>
      <c r="AF68" s="122"/>
      <c r="AG68" s="121"/>
      <c r="AH68" s="121"/>
      <c r="AI68" s="121"/>
      <c r="AJ68" s="121"/>
      <c r="AK68" s="122"/>
      <c r="AL68" s="121"/>
      <c r="AM68" s="121"/>
      <c r="AN68" s="121"/>
      <c r="AO68" s="121"/>
      <c r="AP68" s="122"/>
      <c r="AQ68" s="122"/>
      <c r="AR68" s="122"/>
      <c r="AS68" s="121"/>
      <c r="AT68" s="121"/>
      <c r="AU68" s="121"/>
      <c r="AV68" s="121"/>
      <c r="AW68" s="122"/>
      <c r="AX68" s="121"/>
      <c r="AY68" s="121"/>
      <c r="AZ68" s="121"/>
      <c r="BA68" s="121"/>
      <c r="BB68" s="122"/>
      <c r="BC68" s="122"/>
      <c r="BD68" s="120"/>
      <c r="BE68" s="122"/>
      <c r="BF68" s="122"/>
      <c r="BG68" s="122"/>
      <c r="BH68" s="122"/>
      <c r="BI68" s="122"/>
      <c r="BJ68" s="121"/>
      <c r="BK68" s="121"/>
      <c r="BL68" s="121"/>
      <c r="BM68" s="121"/>
      <c r="BN68" s="122"/>
      <c r="BO68" s="121"/>
      <c r="BP68" s="121"/>
      <c r="BQ68" s="121"/>
      <c r="BR68" s="121"/>
      <c r="BS68" s="122"/>
      <c r="BT68" s="122"/>
      <c r="BU68" s="122"/>
      <c r="BV68" s="121"/>
      <c r="BW68" s="121"/>
      <c r="BX68" s="121"/>
      <c r="BY68" s="121"/>
      <c r="BZ68" s="122"/>
      <c r="CA68" s="121"/>
      <c r="CB68" s="121"/>
      <c r="CC68" s="121"/>
      <c r="CD68" s="121"/>
      <c r="CE68" s="123"/>
    </row>
    <row r="69" spans="1:83" ht="17.25" customHeight="1">
      <c r="E69" s="68"/>
      <c r="F69" s="68"/>
    </row>
    <row r="70" spans="1:83" ht="26.25" customHeight="1">
      <c r="E70" s="49"/>
      <c r="F70" s="49"/>
    </row>
  </sheetData>
  <sheetProtection sheet="1" objects="1" scenarios="1"/>
  <mergeCells count="481">
    <mergeCell ref="AL53:AO53"/>
    <mergeCell ref="AN50:AO51"/>
    <mergeCell ref="W50:W51"/>
    <mergeCell ref="T53:W53"/>
    <mergeCell ref="V50:V51"/>
    <mergeCell ref="AC38:AD38"/>
    <mergeCell ref="AC39:AD39"/>
    <mergeCell ref="AC40:AD40"/>
    <mergeCell ref="AI42:AI43"/>
    <mergeCell ref="AG45:AJ45"/>
    <mergeCell ref="AC41:AE41"/>
    <mergeCell ref="AU66:AV67"/>
    <mergeCell ref="AS53:AV53"/>
    <mergeCell ref="AU58:AV59"/>
    <mergeCell ref="AS45:AV45"/>
    <mergeCell ref="AU50:AV51"/>
    <mergeCell ref="AP18:AP19"/>
    <mergeCell ref="AP26:AP27"/>
    <mergeCell ref="AQ50:AQ51"/>
    <mergeCell ref="AP58:AP59"/>
    <mergeCell ref="AS61:AV61"/>
    <mergeCell ref="AS29:AV29"/>
    <mergeCell ref="AU34:AV35"/>
    <mergeCell ref="AU26:AV27"/>
    <mergeCell ref="AU42:AV43"/>
    <mergeCell ref="AQ66:AQ67"/>
    <mergeCell ref="AP66:AP67"/>
    <mergeCell ref="AQ58:AQ59"/>
    <mergeCell ref="AP50:AP51"/>
    <mergeCell ref="AQ42:AQ43"/>
    <mergeCell ref="AP42:AP43"/>
    <mergeCell ref="AQ10:AQ11"/>
    <mergeCell ref="AN26:AO27"/>
    <mergeCell ref="AN34:AO35"/>
    <mergeCell ref="AP10:AP11"/>
    <mergeCell ref="AQ18:AQ19"/>
    <mergeCell ref="AQ26:AQ27"/>
    <mergeCell ref="AL13:AO13"/>
    <mergeCell ref="AN10:AO11"/>
    <mergeCell ref="AP34:AP35"/>
    <mergeCell ref="AQ34:AQ35"/>
    <mergeCell ref="AL21:AO21"/>
    <mergeCell ref="AN18:AO19"/>
    <mergeCell ref="AL29:AO29"/>
    <mergeCell ref="AB1:AJ1"/>
    <mergeCell ref="AC26:AD26"/>
    <mergeCell ref="AC14:AD14"/>
    <mergeCell ref="AC17:AE17"/>
    <mergeCell ref="AC18:AD18"/>
    <mergeCell ref="AI26:AI27"/>
    <mergeCell ref="AJ26:AJ27"/>
    <mergeCell ref="AC16:AD16"/>
    <mergeCell ref="AC23:AD23"/>
    <mergeCell ref="AC24:AD24"/>
    <mergeCell ref="AG21:AJ21"/>
    <mergeCell ref="AG5:AJ5"/>
    <mergeCell ref="AI10:AI11"/>
    <mergeCell ref="AJ10:AJ11"/>
    <mergeCell ref="AG13:AJ13"/>
    <mergeCell ref="AJ18:AJ19"/>
    <mergeCell ref="AC25:AE25"/>
    <mergeCell ref="AL61:AO61"/>
    <mergeCell ref="AN58:AO59"/>
    <mergeCell ref="AC10:AD10"/>
    <mergeCell ref="AC22:AD22"/>
    <mergeCell ref="AC15:AD15"/>
    <mergeCell ref="AI18:AI19"/>
    <mergeCell ref="AC32:AD32"/>
    <mergeCell ref="AN66:AO67"/>
    <mergeCell ref="AC64:AD64"/>
    <mergeCell ref="AC58:AD58"/>
    <mergeCell ref="AC66:AD66"/>
    <mergeCell ref="AC33:AE33"/>
    <mergeCell ref="AI34:AI35"/>
    <mergeCell ref="AJ34:AJ35"/>
    <mergeCell ref="AG37:AJ37"/>
    <mergeCell ref="AL45:AO45"/>
    <mergeCell ref="AC65:AE65"/>
    <mergeCell ref="AC55:AD55"/>
    <mergeCell ref="AC56:AD56"/>
    <mergeCell ref="AC57:AE57"/>
    <mergeCell ref="AC62:AD62"/>
    <mergeCell ref="AC63:AD63"/>
    <mergeCell ref="AI50:AI51"/>
    <mergeCell ref="AC30:AD30"/>
    <mergeCell ref="AJ58:AJ59"/>
    <mergeCell ref="O26:O27"/>
    <mergeCell ref="K26:K27"/>
    <mergeCell ref="R50:R51"/>
    <mergeCell ref="L53:O53"/>
    <mergeCell ref="N50:N51"/>
    <mergeCell ref="O50:O51"/>
    <mergeCell ref="P53:S53"/>
    <mergeCell ref="H53:K53"/>
    <mergeCell ref="AG29:AJ29"/>
    <mergeCell ref="S50:S51"/>
    <mergeCell ref="AC50:AD50"/>
    <mergeCell ref="AC46:AD46"/>
    <mergeCell ref="AC54:AD54"/>
    <mergeCell ref="AG53:AJ53"/>
    <mergeCell ref="L29:O29"/>
    <mergeCell ref="J50:J51"/>
    <mergeCell ref="K58:K59"/>
    <mergeCell ref="O58:O59"/>
    <mergeCell ref="T45:W45"/>
    <mergeCell ref="R58:R59"/>
    <mergeCell ref="V58:V59"/>
    <mergeCell ref="N58:N59"/>
    <mergeCell ref="S58:S59"/>
    <mergeCell ref="AC31:AD31"/>
    <mergeCell ref="L37:O37"/>
    <mergeCell ref="H37:K37"/>
    <mergeCell ref="P37:S37"/>
    <mergeCell ref="O42:O43"/>
    <mergeCell ref="R34:R35"/>
    <mergeCell ref="J26:J27"/>
    <mergeCell ref="K34:K35"/>
    <mergeCell ref="N34:N35"/>
    <mergeCell ref="O34:O35"/>
    <mergeCell ref="J34:J35"/>
    <mergeCell ref="AC42:AD42"/>
    <mergeCell ref="T29:W29"/>
    <mergeCell ref="W26:W27"/>
    <mergeCell ref="V26:V27"/>
    <mergeCell ref="V42:V43"/>
    <mergeCell ref="T37:W37"/>
    <mergeCell ref="V34:V35"/>
    <mergeCell ref="N18:N19"/>
    <mergeCell ref="O18:O19"/>
    <mergeCell ref="W18:W19"/>
    <mergeCell ref="V18:V19"/>
    <mergeCell ref="S18:S19"/>
    <mergeCell ref="E46:E47"/>
    <mergeCell ref="S34:S35"/>
    <mergeCell ref="W34:W35"/>
    <mergeCell ref="E29:G29"/>
    <mergeCell ref="G30:G31"/>
    <mergeCell ref="E32:E33"/>
    <mergeCell ref="R26:R27"/>
    <mergeCell ref="S26:S27"/>
    <mergeCell ref="G32:G33"/>
    <mergeCell ref="H29:K29"/>
    <mergeCell ref="P29:S29"/>
    <mergeCell ref="L21:O21"/>
    <mergeCell ref="G38:G39"/>
    <mergeCell ref="E38:E39"/>
    <mergeCell ref="W42:W43"/>
    <mergeCell ref="G40:G41"/>
    <mergeCell ref="E42:G43"/>
    <mergeCell ref="N26:N27"/>
    <mergeCell ref="E24:E25"/>
    <mergeCell ref="A18:D19"/>
    <mergeCell ref="E18:G19"/>
    <mergeCell ref="F56:F57"/>
    <mergeCell ref="E48:E49"/>
    <mergeCell ref="F48:F49"/>
    <mergeCell ref="E53:G53"/>
    <mergeCell ref="G54:G55"/>
    <mergeCell ref="F54:F55"/>
    <mergeCell ref="E54:E55"/>
    <mergeCell ref="G56:G57"/>
    <mergeCell ref="A45:A47"/>
    <mergeCell ref="D46:D47"/>
    <mergeCell ref="B46:C47"/>
    <mergeCell ref="G48:G49"/>
    <mergeCell ref="A21:A23"/>
    <mergeCell ref="E22:E23"/>
    <mergeCell ref="E34:G35"/>
    <mergeCell ref="G22:G23"/>
    <mergeCell ref="F22:F23"/>
    <mergeCell ref="F46:F47"/>
    <mergeCell ref="G46:G47"/>
    <mergeCell ref="E45:G45"/>
    <mergeCell ref="E50:G51"/>
    <mergeCell ref="E21:G21"/>
    <mergeCell ref="A26:D27"/>
    <mergeCell ref="G24:G25"/>
    <mergeCell ref="F24:F25"/>
    <mergeCell ref="A24:D25"/>
    <mergeCell ref="B21:D21"/>
    <mergeCell ref="B22:C23"/>
    <mergeCell ref="E26:G27"/>
    <mergeCell ref="D22:D23"/>
    <mergeCell ref="T5:W5"/>
    <mergeCell ref="E12:W12"/>
    <mergeCell ref="J10:J11"/>
    <mergeCell ref="K18:K19"/>
    <mergeCell ref="R18:R19"/>
    <mergeCell ref="W10:W11"/>
    <mergeCell ref="H13:K13"/>
    <mergeCell ref="P13:S13"/>
    <mergeCell ref="G10:G11"/>
    <mergeCell ref="G14:G15"/>
    <mergeCell ref="J18:J19"/>
    <mergeCell ref="A16:D17"/>
    <mergeCell ref="E16:E17"/>
    <mergeCell ref="A13:A15"/>
    <mergeCell ref="F10:F11"/>
    <mergeCell ref="K10:K11"/>
    <mergeCell ref="L13:O13"/>
    <mergeCell ref="S10:S11"/>
    <mergeCell ref="F16:F17"/>
    <mergeCell ref="B13:D13"/>
    <mergeCell ref="R10:R11"/>
    <mergeCell ref="N10:N11"/>
    <mergeCell ref="O10:O11"/>
    <mergeCell ref="E14:E15"/>
    <mergeCell ref="F14:F15"/>
    <mergeCell ref="B14:C15"/>
    <mergeCell ref="E13:G13"/>
    <mergeCell ref="G16:G17"/>
    <mergeCell ref="H21:K21"/>
    <mergeCell ref="B4:C4"/>
    <mergeCell ref="A3:C3"/>
    <mergeCell ref="E3:G3"/>
    <mergeCell ref="E4:E5"/>
    <mergeCell ref="F8:F9"/>
    <mergeCell ref="G8:G9"/>
    <mergeCell ref="P5:S5"/>
    <mergeCell ref="H5:K5"/>
    <mergeCell ref="L5:O5"/>
    <mergeCell ref="G6:G7"/>
    <mergeCell ref="F6:F7"/>
    <mergeCell ref="F4:F5"/>
    <mergeCell ref="G4:G5"/>
    <mergeCell ref="C9:C11"/>
    <mergeCell ref="B9:B11"/>
    <mergeCell ref="E8:E9"/>
    <mergeCell ref="E6:E7"/>
    <mergeCell ref="A9:A11"/>
    <mergeCell ref="A5:C5"/>
    <mergeCell ref="C6:C8"/>
    <mergeCell ref="B6:B8"/>
    <mergeCell ref="A6:A8"/>
    <mergeCell ref="D14:D15"/>
    <mergeCell ref="A40:D41"/>
    <mergeCell ref="D38:D39"/>
    <mergeCell ref="B30:C31"/>
    <mergeCell ref="F32:F33"/>
    <mergeCell ref="A34:D35"/>
    <mergeCell ref="A32:D33"/>
    <mergeCell ref="E30:E31"/>
    <mergeCell ref="A29:A31"/>
    <mergeCell ref="B29:D29"/>
    <mergeCell ref="D30:D31"/>
    <mergeCell ref="F30:F31"/>
    <mergeCell ref="A37:A39"/>
    <mergeCell ref="E37:G37"/>
    <mergeCell ref="E40:E41"/>
    <mergeCell ref="F38:F39"/>
    <mergeCell ref="F40:F41"/>
    <mergeCell ref="A66:D67"/>
    <mergeCell ref="E66:G67"/>
    <mergeCell ref="E64:E65"/>
    <mergeCell ref="E62:E63"/>
    <mergeCell ref="B62:C63"/>
    <mergeCell ref="D62:D63"/>
    <mergeCell ref="F62:F63"/>
    <mergeCell ref="G62:G63"/>
    <mergeCell ref="A64:D65"/>
    <mergeCell ref="A61:A63"/>
    <mergeCell ref="B61:D61"/>
    <mergeCell ref="F64:F65"/>
    <mergeCell ref="G64:G65"/>
    <mergeCell ref="E61:G61"/>
    <mergeCell ref="W66:W67"/>
    <mergeCell ref="R66:R67"/>
    <mergeCell ref="J58:J59"/>
    <mergeCell ref="J42:J43"/>
    <mergeCell ref="H45:K45"/>
    <mergeCell ref="L45:O45"/>
    <mergeCell ref="P45:S45"/>
    <mergeCell ref="S42:S43"/>
    <mergeCell ref="R42:R43"/>
    <mergeCell ref="K42:K43"/>
    <mergeCell ref="N42:N43"/>
    <mergeCell ref="K50:K51"/>
    <mergeCell ref="V66:V67"/>
    <mergeCell ref="O66:O67"/>
    <mergeCell ref="K66:K67"/>
    <mergeCell ref="L61:O61"/>
    <mergeCell ref="J66:J67"/>
    <mergeCell ref="N66:N67"/>
    <mergeCell ref="H61:K61"/>
    <mergeCell ref="S66:S67"/>
    <mergeCell ref="AA2:AA8"/>
    <mergeCell ref="P61:S61"/>
    <mergeCell ref="T61:W61"/>
    <mergeCell ref="W58:W59"/>
    <mergeCell ref="V10:V11"/>
    <mergeCell ref="P21:S21"/>
    <mergeCell ref="T21:W21"/>
    <mergeCell ref="B2:S2"/>
    <mergeCell ref="E10:E11"/>
    <mergeCell ref="T13:W13"/>
    <mergeCell ref="A58:D59"/>
    <mergeCell ref="E58:G59"/>
    <mergeCell ref="E56:E57"/>
    <mergeCell ref="A48:D49"/>
    <mergeCell ref="B54:C55"/>
    <mergeCell ref="A42:D43"/>
    <mergeCell ref="A50:D51"/>
    <mergeCell ref="A56:D57"/>
    <mergeCell ref="B53:D53"/>
    <mergeCell ref="D54:D55"/>
    <mergeCell ref="A53:A55"/>
    <mergeCell ref="B45:D45"/>
    <mergeCell ref="B37:D37"/>
    <mergeCell ref="B38:C39"/>
    <mergeCell ref="AZ66:BA67"/>
    <mergeCell ref="AX21:BA21"/>
    <mergeCell ref="AZ26:BA27"/>
    <mergeCell ref="AX29:BA29"/>
    <mergeCell ref="AX53:BA53"/>
    <mergeCell ref="AC6:AD6"/>
    <mergeCell ref="AC7:AD7"/>
    <mergeCell ref="AC8:AD8"/>
    <mergeCell ref="AC9:AE9"/>
    <mergeCell ref="AU10:AV11"/>
    <mergeCell ref="AX61:BA61"/>
    <mergeCell ref="AZ10:BA11"/>
    <mergeCell ref="AX13:BA13"/>
    <mergeCell ref="AZ18:BA19"/>
    <mergeCell ref="AZ58:BA59"/>
    <mergeCell ref="AS13:AV13"/>
    <mergeCell ref="AU18:AV19"/>
    <mergeCell ref="AS21:AV21"/>
    <mergeCell ref="AS37:AV37"/>
    <mergeCell ref="AJ50:AJ51"/>
    <mergeCell ref="AI66:AI67"/>
    <mergeCell ref="AI58:AI59"/>
    <mergeCell ref="AG61:AJ61"/>
    <mergeCell ref="AJ66:AJ67"/>
    <mergeCell ref="BF33:BH33"/>
    <mergeCell ref="BF40:BG40"/>
    <mergeCell ref="BF41:BH41"/>
    <mergeCell ref="BF38:BG38"/>
    <mergeCell ref="BF39:BG39"/>
    <mergeCell ref="BF34:BG34"/>
    <mergeCell ref="BF50:BG50"/>
    <mergeCell ref="AZ42:BA43"/>
    <mergeCell ref="AC49:AE49"/>
    <mergeCell ref="AJ42:AJ43"/>
    <mergeCell ref="AC47:AD47"/>
    <mergeCell ref="AC48:AD48"/>
    <mergeCell ref="AZ34:BA35"/>
    <mergeCell ref="AX37:BA37"/>
    <mergeCell ref="AX45:BA45"/>
    <mergeCell ref="AZ50:BA51"/>
    <mergeCell ref="AL37:AO37"/>
    <mergeCell ref="AN42:AO43"/>
    <mergeCell ref="AC34:AD34"/>
    <mergeCell ref="AK1:AP1"/>
    <mergeCell ref="BE1:BM1"/>
    <mergeCell ref="BN1:BS1"/>
    <mergeCell ref="BJ5:BM5"/>
    <mergeCell ref="BO5:BR5"/>
    <mergeCell ref="AX5:BA5"/>
    <mergeCell ref="AL5:AO5"/>
    <mergeCell ref="AS5:AV5"/>
    <mergeCell ref="BF8:BG8"/>
    <mergeCell ref="AP8:AP9"/>
    <mergeCell ref="BV5:BY5"/>
    <mergeCell ref="CA5:CD5"/>
    <mergeCell ref="BF6:BG6"/>
    <mergeCell ref="BF7:BG7"/>
    <mergeCell ref="BF10:BG10"/>
    <mergeCell ref="BL10:BL11"/>
    <mergeCell ref="BM10:BM11"/>
    <mergeCell ref="BQ10:BR11"/>
    <mergeCell ref="BX10:BY11"/>
    <mergeCell ref="CC10:CD11"/>
    <mergeCell ref="BS8:BS9"/>
    <mergeCell ref="BF9:BH9"/>
    <mergeCell ref="BJ13:BM13"/>
    <mergeCell ref="BO13:BR13"/>
    <mergeCell ref="BV13:BY13"/>
    <mergeCell ref="CA13:CD13"/>
    <mergeCell ref="BS10:BS11"/>
    <mergeCell ref="BT10:BT11"/>
    <mergeCell ref="BF18:BG18"/>
    <mergeCell ref="BL18:BL19"/>
    <mergeCell ref="BM18:BM19"/>
    <mergeCell ref="BQ18:BR19"/>
    <mergeCell ref="BF14:BG14"/>
    <mergeCell ref="BF15:BG15"/>
    <mergeCell ref="BF16:BG16"/>
    <mergeCell ref="BF17:BH17"/>
    <mergeCell ref="BS18:BS19"/>
    <mergeCell ref="BT18:BT19"/>
    <mergeCell ref="BV21:BY21"/>
    <mergeCell ref="CA21:CD21"/>
    <mergeCell ref="BX18:BY19"/>
    <mergeCell ref="CC18:CD19"/>
    <mergeCell ref="BF26:BG26"/>
    <mergeCell ref="BL26:BL27"/>
    <mergeCell ref="BJ21:BM21"/>
    <mergeCell ref="BO21:BR21"/>
    <mergeCell ref="BF24:BG24"/>
    <mergeCell ref="BF25:BH25"/>
    <mergeCell ref="BF22:BG22"/>
    <mergeCell ref="BF23:BG23"/>
    <mergeCell ref="BM26:BM27"/>
    <mergeCell ref="BQ26:BR27"/>
    <mergeCell ref="BX26:BY27"/>
    <mergeCell ref="CC26:CD27"/>
    <mergeCell ref="BJ29:BM29"/>
    <mergeCell ref="BO29:BR29"/>
    <mergeCell ref="BV29:BY29"/>
    <mergeCell ref="CA29:CD29"/>
    <mergeCell ref="BS26:BS27"/>
    <mergeCell ref="BT26:BT27"/>
    <mergeCell ref="BF30:BG30"/>
    <mergeCell ref="BF31:BG31"/>
    <mergeCell ref="BF32:BG32"/>
    <mergeCell ref="BV37:BY37"/>
    <mergeCell ref="CA37:CD37"/>
    <mergeCell ref="BX34:BY35"/>
    <mergeCell ref="CC34:CD35"/>
    <mergeCell ref="BS34:BS35"/>
    <mergeCell ref="BT34:BT35"/>
    <mergeCell ref="BM34:BM35"/>
    <mergeCell ref="BQ34:BR35"/>
    <mergeCell ref="BJ37:BM37"/>
    <mergeCell ref="BO37:BR37"/>
    <mergeCell ref="BL34:BL35"/>
    <mergeCell ref="BS50:BS51"/>
    <mergeCell ref="BT50:BT51"/>
    <mergeCell ref="BX50:BY51"/>
    <mergeCell ref="CC50:CD51"/>
    <mergeCell ref="BL50:BL51"/>
    <mergeCell ref="BS42:BS43"/>
    <mergeCell ref="BT42:BT43"/>
    <mergeCell ref="BF42:BG42"/>
    <mergeCell ref="BF46:BG46"/>
    <mergeCell ref="BF47:BG47"/>
    <mergeCell ref="BF48:BG48"/>
    <mergeCell ref="BF49:BH49"/>
    <mergeCell ref="BM50:BM51"/>
    <mergeCell ref="BQ50:BR51"/>
    <mergeCell ref="BX42:BY43"/>
    <mergeCell ref="CC42:CD43"/>
    <mergeCell ref="BJ45:BM45"/>
    <mergeCell ref="BO45:BR45"/>
    <mergeCell ref="BV45:BY45"/>
    <mergeCell ref="CA45:CD45"/>
    <mergeCell ref="BL42:BL43"/>
    <mergeCell ref="BM42:BM43"/>
    <mergeCell ref="BQ42:BR43"/>
    <mergeCell ref="BJ53:BM53"/>
    <mergeCell ref="BO53:BR53"/>
    <mergeCell ref="BV53:BY53"/>
    <mergeCell ref="CA53:CD53"/>
    <mergeCell ref="BF64:BG64"/>
    <mergeCell ref="BJ61:BM61"/>
    <mergeCell ref="BO61:BR61"/>
    <mergeCell ref="BL58:BL59"/>
    <mergeCell ref="BM58:BM59"/>
    <mergeCell ref="BF54:BG54"/>
    <mergeCell ref="BF55:BG55"/>
    <mergeCell ref="BF62:BG62"/>
    <mergeCell ref="BF63:BG63"/>
    <mergeCell ref="BF56:BG56"/>
    <mergeCell ref="BF57:BH57"/>
    <mergeCell ref="BF58:BG58"/>
    <mergeCell ref="BQ58:BR59"/>
    <mergeCell ref="BV61:BY61"/>
    <mergeCell ref="CA61:CD61"/>
    <mergeCell ref="BS58:BS59"/>
    <mergeCell ref="BT58:BT59"/>
    <mergeCell ref="BX58:BY59"/>
    <mergeCell ref="CC58:CD59"/>
    <mergeCell ref="BX66:BY67"/>
    <mergeCell ref="CC66:CD67"/>
    <mergeCell ref="BF66:BG66"/>
    <mergeCell ref="BL66:BL67"/>
    <mergeCell ref="BM66:BM67"/>
    <mergeCell ref="BQ66:BR67"/>
    <mergeCell ref="BS66:BS67"/>
    <mergeCell ref="BT66:BT67"/>
    <mergeCell ref="BF65:BH65"/>
  </mergeCells>
  <phoneticPr fontId="2"/>
  <pageMargins left="0.5" right="0.19685039370078741" top="0.81" bottom="0.55000000000000004" header="0.61" footer="0.51181102362204722"/>
  <pageSetup paperSize="9" scale="50" orientation="portrait" r:id="rId1"/>
  <headerFooter alignWithMargins="0">
    <oddHeader>&amp;R&amp;D　&amp;T</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CR299"/>
  <sheetViews>
    <sheetView showGridLines="0" showZeros="0" view="pageBreakPreview" zoomScale="60" zoomScaleNormal="50" workbookViewId="0">
      <selection activeCell="E76" sqref="E76:F76"/>
    </sheetView>
  </sheetViews>
  <sheetFormatPr defaultColWidth="8.875" defaultRowHeight="17.25"/>
  <cols>
    <col min="1" max="1" width="8.125" style="3" customWidth="1"/>
    <col min="2" max="2" width="4.125" style="3" customWidth="1"/>
    <col min="3" max="3" width="13" style="3" customWidth="1"/>
    <col min="4" max="4" width="4.375" style="3" customWidth="1"/>
    <col min="5" max="5" width="9.875" style="3" customWidth="1"/>
    <col min="6" max="6" width="3.75" style="3" customWidth="1"/>
    <col min="7" max="7" width="3.5" style="3" customWidth="1"/>
    <col min="8" max="8" width="8.875" style="9" customWidth="1"/>
    <col min="9" max="9" width="5.625" style="3" bestFit="1" customWidth="1"/>
    <col min="10" max="10" width="4.25" style="3" customWidth="1"/>
    <col min="11" max="11" width="5.5" style="3" customWidth="1"/>
    <col min="12" max="12" width="5" style="3" customWidth="1"/>
    <col min="13" max="13" width="4.875" style="3" customWidth="1"/>
    <col min="14" max="14" width="6.125" style="10" customWidth="1"/>
    <col min="15" max="15" width="4.75" style="10" customWidth="1"/>
    <col min="16" max="16" width="8.375" style="3" customWidth="1"/>
    <col min="17" max="17" width="3.25" style="3" customWidth="1"/>
    <col min="18" max="18" width="11.875" style="3" bestFit="1" customWidth="1"/>
    <col min="19" max="19" width="5" style="3" customWidth="1"/>
    <col min="20" max="20" width="12.375" style="3" customWidth="1"/>
    <col min="21" max="21" width="11.375" style="3" customWidth="1"/>
    <col min="22" max="22" width="4.875" style="3" customWidth="1"/>
    <col min="23" max="23" width="5.25" style="2" customWidth="1"/>
    <col min="24" max="24" width="11.125" style="2" customWidth="1"/>
    <col min="25" max="25" width="5.25" style="2" customWidth="1"/>
    <col min="26" max="26" width="10.375" style="2" customWidth="1"/>
    <col min="27" max="27" width="1.875" style="2" customWidth="1"/>
    <col min="28" max="30" width="4.875" style="2" customWidth="1"/>
    <col min="31" max="31" width="13.25" style="69" customWidth="1"/>
    <col min="32" max="32" width="13.25" style="2" customWidth="1"/>
    <col min="33" max="33" width="21.125" style="2" bestFit="1" customWidth="1"/>
    <col min="34" max="34" width="10.375" style="2" customWidth="1"/>
    <col min="35" max="35" width="12.75" style="171" customWidth="1"/>
    <col min="36" max="43" width="10.375" style="171" customWidth="1"/>
    <col min="44" max="44" width="11.625" style="171" customWidth="1"/>
    <col min="45" max="45" width="2.625" style="171" customWidth="1"/>
    <col min="46" max="46" width="5.5" style="171" bestFit="1" customWidth="1"/>
    <col min="47" max="47" width="10.375" style="171" customWidth="1"/>
    <col min="48" max="48" width="8.625" style="171" bestFit="1" customWidth="1"/>
    <col min="49" max="49" width="10.375" style="171" customWidth="1"/>
    <col min="50" max="50" width="4" style="3" customWidth="1"/>
    <col min="51" max="51" width="6.875" style="4" customWidth="1"/>
    <col min="52" max="52" width="11.125" style="4" customWidth="1"/>
    <col min="53" max="53" width="5.25" style="193" customWidth="1"/>
    <col min="54" max="54" width="10.375" style="193" customWidth="1"/>
    <col min="55" max="55" width="4" style="3" customWidth="1"/>
    <col min="56" max="56" width="5.25" style="4" customWidth="1"/>
    <col min="57" max="57" width="11.125" style="4" customWidth="1"/>
    <col min="58" max="58" width="5.25" style="4" customWidth="1"/>
    <col min="59" max="59" width="10.375" style="4" customWidth="1"/>
    <col min="60" max="60" width="4" style="3" customWidth="1"/>
    <col min="61" max="61" width="5.25" style="4" customWidth="1"/>
    <col min="62" max="62" width="11.125" style="4" customWidth="1"/>
    <col min="63" max="63" width="5.25" style="4" customWidth="1"/>
    <col min="64" max="64" width="10.375" style="4" customWidth="1"/>
    <col min="65" max="65" width="4" style="3" customWidth="1"/>
    <col min="66" max="66" width="5.25" style="4" customWidth="1"/>
    <col min="67" max="67" width="11.125" style="4" customWidth="1"/>
    <col min="68" max="68" width="5.25" style="4" customWidth="1"/>
    <col min="69" max="69" width="10.375" style="4" customWidth="1"/>
    <col min="70" max="71" width="4" style="3" customWidth="1"/>
    <col min="72" max="72" width="4" style="3" hidden="1" customWidth="1"/>
    <col min="73" max="74" width="9.875" style="3" customWidth="1"/>
    <col min="75" max="75" width="4" style="3" customWidth="1"/>
    <col min="76" max="76" width="10.875" style="2" customWidth="1"/>
    <col min="77" max="77" width="10.375" style="2" customWidth="1"/>
    <col min="78" max="80" width="10.5" style="2" customWidth="1"/>
    <col min="81" max="81" width="8.875" style="2" customWidth="1"/>
    <col min="82" max="82" width="11.125" style="2" customWidth="1"/>
    <col min="83" max="83" width="10.25" style="2" customWidth="1"/>
    <col min="84" max="86" width="12" style="2" customWidth="1"/>
    <col min="87" max="88" width="8.875" style="3" customWidth="1"/>
    <col min="89" max="89" width="19.375" style="3" customWidth="1"/>
    <col min="90" max="90" width="8.875" style="9" customWidth="1"/>
    <col min="91" max="91" width="24.125" style="3" customWidth="1"/>
    <col min="92" max="96" width="17" style="3" customWidth="1"/>
    <col min="97" max="16384" width="8.875" style="3"/>
  </cols>
  <sheetData>
    <row r="1" spans="1:96" ht="31.5" customHeight="1">
      <c r="A1" s="1428">
        <f>入力画面!C60</f>
        <v>0</v>
      </c>
      <c r="B1" s="1428"/>
      <c r="C1" s="1428"/>
      <c r="D1" s="1428"/>
      <c r="E1" s="1428"/>
      <c r="F1" s="1428"/>
      <c r="G1" s="1428"/>
      <c r="H1" s="1428"/>
      <c r="I1" s="1428"/>
      <c r="J1" s="1428"/>
      <c r="K1" s="1428"/>
      <c r="L1" s="1428"/>
      <c r="M1" s="1428"/>
      <c r="N1" s="1428"/>
      <c r="O1" s="1428"/>
      <c r="P1" s="1428"/>
      <c r="Q1" s="1428"/>
      <c r="R1" s="1428"/>
      <c r="S1" s="1428"/>
      <c r="T1" s="1428"/>
      <c r="U1" s="1428"/>
      <c r="V1" s="1428"/>
      <c r="W1" s="1428"/>
      <c r="X1" s="1438" t="s">
        <v>15</v>
      </c>
      <c r="Y1" s="1438"/>
      <c r="Z1" s="1438"/>
      <c r="AA1" s="5"/>
      <c r="AB1" s="5"/>
      <c r="AC1" s="226"/>
      <c r="AD1" s="159"/>
      <c r="AE1" s="230"/>
      <c r="AF1" s="230"/>
      <c r="AG1" s="243" t="s">
        <v>141</v>
      </c>
      <c r="AH1" s="220"/>
      <c r="AI1" s="221"/>
      <c r="AJ1" s="221"/>
      <c r="AK1" s="221"/>
      <c r="AL1" s="221"/>
      <c r="AM1" s="221"/>
      <c r="AN1" s="221"/>
      <c r="AO1" s="221"/>
      <c r="AP1" s="221"/>
      <c r="AQ1" s="221"/>
      <c r="AR1" s="221"/>
      <c r="AS1" s="221"/>
      <c r="AT1" s="221"/>
      <c r="AU1" s="221"/>
      <c r="AV1" s="221"/>
      <c r="AW1" s="221"/>
      <c r="AX1" s="1430" t="s">
        <v>80</v>
      </c>
      <c r="AY1" s="1430"/>
      <c r="AZ1" s="1430"/>
      <c r="BA1" s="1430"/>
      <c r="BB1" s="1430"/>
      <c r="BC1" s="1430"/>
      <c r="BD1" s="1430"/>
      <c r="BE1" s="1430"/>
      <c r="BF1" s="1430"/>
      <c r="BG1" s="1430"/>
      <c r="BH1" s="1430"/>
      <c r="BI1" s="1430"/>
      <c r="BJ1" s="1430"/>
      <c r="BK1" s="1430"/>
      <c r="BL1" s="1430"/>
      <c r="BM1" s="1430"/>
      <c r="BN1" s="1430"/>
      <c r="BO1" s="1430"/>
      <c r="BP1" s="1430"/>
      <c r="BQ1" s="1430"/>
      <c r="BR1" s="1430"/>
      <c r="BS1" s="1430"/>
      <c r="BT1" s="1430"/>
      <c r="BU1" s="1430"/>
      <c r="BV1" s="1430"/>
      <c r="BW1" s="6"/>
      <c r="BX1" s="7"/>
      <c r="BY1" s="7"/>
      <c r="BZ1" s="7"/>
      <c r="CA1" s="7"/>
      <c r="CB1" s="7"/>
      <c r="CC1" s="7"/>
      <c r="CD1" s="7"/>
      <c r="CE1" s="7"/>
      <c r="CF1" s="7"/>
      <c r="CG1" s="7"/>
      <c r="CH1" s="7"/>
      <c r="CI1" s="8"/>
      <c r="CR1" s="56"/>
    </row>
    <row r="2" spans="1:96" ht="31.5" customHeight="1">
      <c r="A2" s="1429" t="s">
        <v>48</v>
      </c>
      <c r="B2" s="1429"/>
      <c r="C2" s="1429"/>
      <c r="D2" s="1417">
        <f>入力画面!D9</f>
        <v>0</v>
      </c>
      <c r="E2" s="1417"/>
      <c r="F2" s="1417"/>
      <c r="G2" s="3" t="s">
        <v>22</v>
      </c>
      <c r="U2" s="11"/>
      <c r="V2" s="11"/>
      <c r="AC2" s="492"/>
      <c r="AD2" s="4"/>
      <c r="AE2" s="74"/>
      <c r="AF2" s="4"/>
      <c r="AG2" s="244">
        <f>AG6+AG184</f>
        <v>0</v>
      </c>
      <c r="AH2" s="4"/>
      <c r="AI2" s="174"/>
      <c r="AJ2" s="174"/>
      <c r="AK2" s="174"/>
      <c r="AL2" s="174"/>
      <c r="AM2" s="174"/>
      <c r="AN2" s="174"/>
      <c r="AO2" s="174"/>
      <c r="AP2" s="174"/>
      <c r="AQ2" s="174"/>
      <c r="AR2" s="174"/>
      <c r="AS2" s="174"/>
      <c r="AT2" s="174"/>
      <c r="AU2" s="174"/>
      <c r="AV2" s="174"/>
      <c r="AW2" s="174"/>
      <c r="AX2" s="1431"/>
      <c r="AY2" s="1431"/>
      <c r="AZ2" s="1431"/>
      <c r="BA2" s="1431"/>
      <c r="BB2" s="1431"/>
      <c r="BC2" s="1431"/>
      <c r="BD2" s="1431"/>
      <c r="BE2" s="1431"/>
      <c r="BF2" s="1431"/>
      <c r="BG2" s="1431"/>
      <c r="BH2" s="1431"/>
      <c r="BI2" s="1431"/>
      <c r="BJ2" s="1431"/>
      <c r="BK2" s="1431"/>
      <c r="BL2" s="1431"/>
      <c r="BM2" s="1431"/>
      <c r="BN2" s="1431"/>
      <c r="BO2" s="1431"/>
      <c r="BP2" s="1431"/>
      <c r="BQ2" s="1431"/>
      <c r="BR2" s="1431"/>
      <c r="BS2" s="1431"/>
      <c r="BT2" s="1431"/>
      <c r="BU2" s="1431"/>
      <c r="BV2" s="1431"/>
      <c r="BW2" s="12"/>
      <c r="BX2" s="4"/>
      <c r="BY2" s="4"/>
      <c r="BZ2" s="4"/>
      <c r="CA2" s="4"/>
      <c r="CB2" s="4"/>
      <c r="CC2" s="4"/>
      <c r="CD2" s="4"/>
      <c r="CE2" s="4"/>
      <c r="CF2" s="4"/>
      <c r="CG2" s="4"/>
      <c r="CH2" s="4"/>
      <c r="CI2" s="13"/>
      <c r="CR2" s="56"/>
    </row>
    <row r="3" spans="1:96" ht="16.5" customHeight="1">
      <c r="A3" s="1371" t="s">
        <v>2</v>
      </c>
      <c r="B3" s="1371"/>
      <c r="C3" s="1371"/>
      <c r="D3" s="14"/>
      <c r="E3" s="14"/>
      <c r="F3" s="14"/>
      <c r="G3" s="14"/>
      <c r="H3" s="14"/>
      <c r="I3" s="14"/>
      <c r="J3" s="14"/>
      <c r="K3" s="14"/>
      <c r="L3" s="14"/>
      <c r="M3" s="14"/>
      <c r="N3" s="14"/>
      <c r="O3" s="14"/>
      <c r="P3" s="14"/>
      <c r="Q3" s="14"/>
      <c r="R3" s="14"/>
      <c r="S3" s="14"/>
      <c r="T3" s="14"/>
      <c r="U3" s="14"/>
      <c r="V3" s="15"/>
      <c r="W3" s="1432" t="s">
        <v>50</v>
      </c>
      <c r="X3" s="1433"/>
      <c r="Y3" s="1433"/>
      <c r="Z3" s="1434"/>
      <c r="AA3" s="16"/>
      <c r="AB3" s="16"/>
      <c r="AC3" s="493"/>
      <c r="AD3" s="16"/>
      <c r="AE3" s="227"/>
      <c r="AF3" s="16"/>
      <c r="AG3" s="16"/>
      <c r="AH3" s="16"/>
      <c r="AI3" s="172"/>
      <c r="AJ3" s="172"/>
      <c r="AK3" s="172"/>
      <c r="AL3" s="172"/>
      <c r="AM3" s="172"/>
      <c r="AN3" s="172"/>
      <c r="AO3" s="172"/>
      <c r="AP3" s="172"/>
      <c r="AQ3" s="172"/>
      <c r="AR3" s="172"/>
      <c r="AS3" s="172"/>
      <c r="AT3" s="172"/>
      <c r="AU3" s="172"/>
      <c r="AV3" s="172"/>
      <c r="AW3" s="172"/>
      <c r="AX3" s="1431"/>
      <c r="AY3" s="1431"/>
      <c r="AZ3" s="1431"/>
      <c r="BA3" s="1431"/>
      <c r="BB3" s="1431"/>
      <c r="BC3" s="1431"/>
      <c r="BD3" s="1431"/>
      <c r="BE3" s="1431"/>
      <c r="BF3" s="1431"/>
      <c r="BG3" s="1431"/>
      <c r="BH3" s="1431"/>
      <c r="BI3" s="1431"/>
      <c r="BJ3" s="1431"/>
      <c r="BK3" s="1431"/>
      <c r="BL3" s="1431"/>
      <c r="BM3" s="1431"/>
      <c r="BN3" s="1431"/>
      <c r="BO3" s="1431"/>
      <c r="BP3" s="1431"/>
      <c r="BQ3" s="1431"/>
      <c r="BR3" s="1431"/>
      <c r="BS3" s="1431"/>
      <c r="BT3" s="1431"/>
      <c r="BU3" s="1431"/>
      <c r="BV3" s="1431"/>
      <c r="BW3" s="12"/>
      <c r="BX3" s="4"/>
      <c r="BY3" s="4"/>
      <c r="BZ3" s="4"/>
      <c r="CA3" s="4"/>
      <c r="CB3" s="4"/>
      <c r="CC3" s="4"/>
      <c r="CD3" s="4"/>
      <c r="CE3" s="4"/>
      <c r="CF3" s="4"/>
      <c r="CG3" s="4"/>
      <c r="CH3" s="4"/>
      <c r="CI3" s="13"/>
      <c r="CR3" s="56"/>
    </row>
    <row r="4" spans="1:96" ht="16.5" customHeight="1">
      <c r="A4" s="1371"/>
      <c r="B4" s="1371"/>
      <c r="C4" s="1371"/>
      <c r="W4" s="1435"/>
      <c r="X4" s="1436"/>
      <c r="Y4" s="1436"/>
      <c r="Z4" s="1437"/>
      <c r="AA4" s="16"/>
      <c r="AB4" s="16"/>
      <c r="AC4" s="493"/>
      <c r="AD4" s="16"/>
      <c r="AE4" s="227"/>
      <c r="AF4" s="240" t="s">
        <v>18</v>
      </c>
      <c r="AG4" s="1444" t="s">
        <v>139</v>
      </c>
      <c r="AH4" s="16"/>
      <c r="AI4" s="172"/>
      <c r="AJ4" s="172"/>
      <c r="AK4" s="172"/>
      <c r="AL4" s="172"/>
      <c r="AM4" s="172"/>
      <c r="AN4" s="172"/>
      <c r="AO4" s="172"/>
      <c r="AP4" s="172"/>
      <c r="AQ4" s="172"/>
      <c r="AR4" s="172"/>
      <c r="AS4" s="172"/>
      <c r="AT4" s="172"/>
      <c r="AU4" s="172"/>
      <c r="AV4" s="172"/>
      <c r="AW4" s="172"/>
      <c r="AX4" s="200"/>
      <c r="AY4" s="200"/>
      <c r="AZ4" s="200"/>
      <c r="BA4" s="222"/>
      <c r="BB4" s="222"/>
      <c r="BC4" s="200"/>
      <c r="BD4" s="401"/>
      <c r="BE4" s="401"/>
      <c r="BF4" s="401"/>
      <c r="BG4" s="401"/>
      <c r="BH4" s="401"/>
      <c r="BI4" s="401"/>
      <c r="BJ4" s="401"/>
      <c r="BK4" s="401"/>
      <c r="BL4" s="401"/>
      <c r="BM4" s="401"/>
      <c r="BN4" s="401"/>
      <c r="BO4" s="401"/>
      <c r="BP4" s="401"/>
      <c r="BQ4" s="401"/>
      <c r="BR4" s="401"/>
      <c r="BS4" s="200"/>
      <c r="BT4" s="200"/>
      <c r="BU4" s="200"/>
      <c r="BV4" s="200"/>
      <c r="BW4" s="12"/>
      <c r="BX4" s="4"/>
      <c r="BY4" s="4"/>
      <c r="BZ4" s="4"/>
      <c r="CA4" s="4"/>
      <c r="CB4" s="4"/>
      <c r="CC4" s="4"/>
      <c r="CD4" s="4"/>
      <c r="CE4" s="4"/>
      <c r="CF4" s="4"/>
      <c r="CG4" s="4"/>
      <c r="CH4" s="4"/>
      <c r="CI4" s="13"/>
      <c r="CR4" s="56"/>
    </row>
    <row r="5" spans="1:96" ht="27.75" customHeight="1">
      <c r="D5" s="116">
        <f>入力画面!G9</f>
        <v>7</v>
      </c>
      <c r="E5" s="1378" t="s">
        <v>23</v>
      </c>
      <c r="F5" s="1379"/>
      <c r="K5" s="18"/>
      <c r="R5" s="19" t="s">
        <v>28</v>
      </c>
      <c r="S5" s="20">
        <f>H20+H30+H40+H50+H60+H70+H80</f>
        <v>1</v>
      </c>
      <c r="T5" s="21" t="s">
        <v>4</v>
      </c>
      <c r="W5" s="22" t="s">
        <v>34</v>
      </c>
      <c r="X5" s="23">
        <f t="shared" ref="X5:X10" si="0">IF($CM$14=0,0,IF($AH$13&gt;0,0,CM31))</f>
        <v>1267</v>
      </c>
      <c r="Y5" s="24" t="s">
        <v>39</v>
      </c>
      <c r="Z5" s="25">
        <f>IF($CM$14=0,0,IF($AH$13&gt;0,0,CM37))</f>
        <v>1192</v>
      </c>
      <c r="AA5" s="26"/>
      <c r="AB5" s="26"/>
      <c r="AC5" s="505" t="s">
        <v>34</v>
      </c>
      <c r="AD5" s="509" t="str">
        <f t="shared" ref="AD5:AD10" si="1">AK22</f>
        <v>OK</v>
      </c>
      <c r="AE5" s="489"/>
      <c r="AF5" s="241">
        <f>CE10</f>
        <v>660000</v>
      </c>
      <c r="AG5" s="1445"/>
      <c r="AH5" s="26"/>
      <c r="AI5" s="214" t="s">
        <v>44</v>
      </c>
      <c r="AJ5" s="214" t="s">
        <v>1</v>
      </c>
      <c r="AK5" s="270"/>
      <c r="AL5" s="270"/>
      <c r="AM5" s="270"/>
      <c r="AN5" s="270"/>
      <c r="AO5" s="270"/>
      <c r="AP5" s="270"/>
      <c r="AQ5" s="270"/>
      <c r="AR5" s="270"/>
      <c r="AS5" s="270"/>
      <c r="AT5" s="270"/>
      <c r="AU5" s="270"/>
      <c r="AV5" s="270"/>
      <c r="AW5" s="270"/>
      <c r="AX5" s="200"/>
      <c r="AY5" s="200"/>
      <c r="AZ5" s="200"/>
      <c r="BA5" s="222"/>
      <c r="BB5" s="222"/>
      <c r="BC5" s="200"/>
      <c r="BD5" s="401"/>
      <c r="BE5" s="401"/>
      <c r="BF5" s="401"/>
      <c r="BG5" s="401"/>
      <c r="BH5" s="401"/>
      <c r="BI5" s="401"/>
      <c r="BJ5" s="401"/>
      <c r="BK5" s="401"/>
      <c r="BL5" s="401"/>
      <c r="BM5" s="401"/>
      <c r="BN5" s="401"/>
      <c r="BO5" s="401"/>
      <c r="BP5" s="401"/>
      <c r="BQ5" s="401"/>
      <c r="BR5" s="401"/>
      <c r="BS5" s="200"/>
      <c r="BT5" s="200"/>
      <c r="BU5" s="200"/>
      <c r="BV5" s="200"/>
      <c r="BW5" s="12"/>
      <c r="BX5" s="4"/>
      <c r="BY5" s="4"/>
      <c r="BZ5" s="4"/>
      <c r="CA5" s="4"/>
      <c r="CB5" s="4"/>
      <c r="CC5" s="4"/>
      <c r="CD5" s="1422" t="s">
        <v>16</v>
      </c>
      <c r="CE5" s="1422"/>
      <c r="CF5" s="1422"/>
      <c r="CG5" s="1422"/>
      <c r="CH5" s="1422"/>
      <c r="CI5" s="13"/>
      <c r="CR5" s="56"/>
    </row>
    <row r="6" spans="1:96" ht="27.75" customHeight="1">
      <c r="A6" s="1420">
        <f>'合計（印刷）'!B2</f>
        <v>0</v>
      </c>
      <c r="B6" s="1420"/>
      <c r="C6" s="1420"/>
      <c r="D6" s="1420"/>
      <c r="E6" s="1420"/>
      <c r="F6" s="1420"/>
      <c r="G6" s="1420"/>
      <c r="H6" s="1420"/>
      <c r="I6" s="1420"/>
      <c r="J6" s="1420"/>
      <c r="K6" s="1420"/>
      <c r="L6" s="1420"/>
      <c r="M6" s="1420"/>
      <c r="N6" s="1420"/>
      <c r="O6" s="1420"/>
      <c r="P6" s="1420"/>
      <c r="Q6" s="1420"/>
      <c r="R6" s="1420"/>
      <c r="S6" s="1420"/>
      <c r="T6" s="1420"/>
      <c r="U6" s="1420"/>
      <c r="W6" s="28" t="s">
        <v>35</v>
      </c>
      <c r="X6" s="29">
        <f t="shared" si="0"/>
        <v>1193</v>
      </c>
      <c r="Y6" s="30" t="s">
        <v>40</v>
      </c>
      <c r="Z6" s="31">
        <f>IF($CM$14=0,0,IF($AH$13&gt;0,0,CM38))</f>
        <v>1192</v>
      </c>
      <c r="AA6" s="26"/>
      <c r="AB6" s="26"/>
      <c r="AC6" s="506" t="s">
        <v>35</v>
      </c>
      <c r="AD6" s="510" t="str">
        <f t="shared" si="1"/>
        <v>OK</v>
      </c>
      <c r="AE6" s="489"/>
      <c r="AF6" s="239" t="s">
        <v>44</v>
      </c>
      <c r="AG6" s="1446">
        <f>IF(AF5&gt;=AF7,0,1)</f>
        <v>0</v>
      </c>
      <c r="AH6" s="26"/>
      <c r="AI6" s="215" t="s">
        <v>111</v>
      </c>
      <c r="AJ6" s="177" t="e">
        <f>AJ16+AJ24+AJ32+AJ40+AJ47+AJ54+AJ62</f>
        <v>#VALUE!</v>
      </c>
      <c r="AK6" s="179"/>
      <c r="AL6" s="179"/>
      <c r="AM6" s="179"/>
      <c r="AN6" s="179"/>
      <c r="AO6" s="179"/>
      <c r="AP6" s="179"/>
      <c r="AQ6" s="179"/>
      <c r="AR6" s="179"/>
      <c r="AS6" s="179"/>
      <c r="AT6" s="179"/>
      <c r="AU6" s="179"/>
      <c r="AV6" s="179"/>
      <c r="AW6" s="179"/>
      <c r="AX6" s="200"/>
      <c r="AY6" s="143"/>
      <c r="AZ6" s="223"/>
      <c r="BA6" s="222"/>
      <c r="BB6" s="222"/>
      <c r="BC6" s="200"/>
      <c r="BD6" s="401"/>
      <c r="BE6" s="401"/>
      <c r="BF6" s="401"/>
      <c r="BG6" s="401"/>
      <c r="BH6" s="401"/>
      <c r="BI6" s="401"/>
      <c r="BJ6" s="401"/>
      <c r="BK6" s="401"/>
      <c r="BL6" s="401"/>
      <c r="BM6" s="401"/>
      <c r="BN6" s="401"/>
      <c r="BO6" s="401"/>
      <c r="BP6" s="401"/>
      <c r="BQ6" s="401"/>
      <c r="BR6" s="401"/>
      <c r="BS6" s="200"/>
      <c r="BT6" s="200"/>
      <c r="BU6" s="200"/>
      <c r="BV6" s="200"/>
      <c r="BW6" s="12"/>
      <c r="BX6" s="32"/>
      <c r="BY6" s="33" t="str">
        <f>BY16</f>
        <v>料率</v>
      </c>
      <c r="BZ6" s="33">
        <f>BZ16</f>
        <v>7</v>
      </c>
      <c r="CA6" s="33">
        <f>CA16</f>
        <v>5</v>
      </c>
      <c r="CB6" s="33">
        <f>CB16</f>
        <v>2</v>
      </c>
      <c r="CC6" s="4"/>
      <c r="CD6" s="34"/>
      <c r="CE6" s="35" t="s">
        <v>19</v>
      </c>
      <c r="CF6" s="36">
        <v>7</v>
      </c>
      <c r="CG6" s="36">
        <v>5</v>
      </c>
      <c r="CH6" s="36">
        <v>2</v>
      </c>
      <c r="CI6" s="13"/>
      <c r="CR6" s="56"/>
    </row>
    <row r="7" spans="1:96" ht="27.75" customHeight="1">
      <c r="A7" s="37"/>
      <c r="B7" s="38"/>
      <c r="C7" s="38"/>
      <c r="D7" s="38"/>
      <c r="E7" s="38"/>
      <c r="F7" s="38"/>
      <c r="G7" s="38"/>
      <c r="H7" s="39"/>
      <c r="I7" s="38"/>
      <c r="J7" s="38"/>
      <c r="K7" s="40" t="s">
        <v>9</v>
      </c>
      <c r="L7" s="38"/>
      <c r="M7" s="38"/>
      <c r="N7" s="41"/>
      <c r="O7" s="166"/>
      <c r="P7" s="167"/>
      <c r="Q7" s="38"/>
      <c r="R7" s="38"/>
      <c r="S7" s="38"/>
      <c r="T7" s="38"/>
      <c r="U7" s="38"/>
      <c r="V7" s="141"/>
      <c r="W7" s="28" t="s">
        <v>36</v>
      </c>
      <c r="X7" s="29">
        <f t="shared" si="0"/>
        <v>1193</v>
      </c>
      <c r="Y7" s="30" t="s">
        <v>41</v>
      </c>
      <c r="Z7" s="31">
        <f>IF($CM$14=0,0,IF($AH$13&gt;0,0,CM39))</f>
        <v>1192</v>
      </c>
      <c r="AA7" s="26"/>
      <c r="AB7" s="26"/>
      <c r="AC7" s="506" t="s">
        <v>36</v>
      </c>
      <c r="AD7" s="510" t="str">
        <f t="shared" si="1"/>
        <v>OK</v>
      </c>
      <c r="AE7" s="490"/>
      <c r="AF7" s="45">
        <f>AF10+AF16+AF26+AF36+AF46+AF56+AF66+AF76</f>
        <v>12080</v>
      </c>
      <c r="AG7" s="1447"/>
      <c r="AH7" s="26"/>
      <c r="AI7" s="215" t="s">
        <v>110</v>
      </c>
      <c r="AJ7" s="177" t="e">
        <f>AJ17+AJ25+AJ33+AJ41+AJ48+AJ55+AJ63</f>
        <v>#VALUE!</v>
      </c>
      <c r="AK7" s="179"/>
      <c r="AL7" s="179"/>
      <c r="AM7" s="179"/>
      <c r="AN7" s="179"/>
      <c r="AO7" s="179"/>
      <c r="AP7" s="179"/>
      <c r="AQ7" s="179"/>
      <c r="AR7" s="179"/>
      <c r="AS7" s="179"/>
      <c r="AT7" s="179"/>
      <c r="AU7" s="179"/>
      <c r="AV7" s="179"/>
      <c r="AW7" s="179"/>
      <c r="AX7" s="200"/>
      <c r="AY7" s="143"/>
      <c r="AZ7" s="223"/>
      <c r="BA7" s="222"/>
      <c r="BB7" s="222"/>
      <c r="BC7" s="200"/>
      <c r="BD7" s="401"/>
      <c r="BE7" s="401"/>
      <c r="BF7" s="401"/>
      <c r="BG7" s="401"/>
      <c r="BH7" s="401"/>
      <c r="BI7" s="401"/>
      <c r="BJ7" s="401"/>
      <c r="BK7" s="401"/>
      <c r="BL7" s="401"/>
      <c r="BM7" s="401"/>
      <c r="BN7" s="401"/>
      <c r="BO7" s="401"/>
      <c r="BP7" s="401"/>
      <c r="BQ7" s="401"/>
      <c r="BR7" s="401"/>
      <c r="BS7" s="200"/>
      <c r="BT7" s="200"/>
      <c r="BU7" s="200"/>
      <c r="BV7" s="200"/>
      <c r="BW7" s="12"/>
      <c r="BX7" s="32" t="s">
        <v>1</v>
      </c>
      <c r="BY7" s="44">
        <v>0</v>
      </c>
      <c r="BZ7" s="45">
        <f>CF9</f>
        <v>19090</v>
      </c>
      <c r="CA7" s="45">
        <f>CG9</f>
        <v>13640</v>
      </c>
      <c r="CB7" s="45">
        <f>CH9</f>
        <v>5460</v>
      </c>
      <c r="CC7" s="4"/>
      <c r="CD7" s="46" t="s">
        <v>0</v>
      </c>
      <c r="CE7" s="47">
        <f>入力画面!E63</f>
        <v>8.98</v>
      </c>
      <c r="CF7" s="48"/>
      <c r="CG7" s="48"/>
      <c r="CH7" s="48"/>
      <c r="CI7" s="13"/>
      <c r="CR7" s="56"/>
    </row>
    <row r="8" spans="1:96" ht="27.75" customHeight="1">
      <c r="A8" s="1418" t="s">
        <v>1</v>
      </c>
      <c r="B8" s="1277"/>
      <c r="C8" s="855" t="s">
        <v>107</v>
      </c>
      <c r="D8" s="1419" t="s">
        <v>121</v>
      </c>
      <c r="E8" s="1376">
        <f>IF(S5&gt;0,CE9,0)</f>
        <v>27270</v>
      </c>
      <c r="F8" s="1376"/>
      <c r="G8" s="1376"/>
      <c r="H8" s="855" t="s">
        <v>109</v>
      </c>
      <c r="I8" s="12"/>
      <c r="J8" s="855" t="s">
        <v>59</v>
      </c>
      <c r="K8" s="51">
        <f>MAX(BV76:BV82)</f>
        <v>12</v>
      </c>
      <c r="L8" s="52" t="s">
        <v>5</v>
      </c>
      <c r="M8" s="1380" t="s">
        <v>122</v>
      </c>
      <c r="N8" s="1377" t="s">
        <v>14</v>
      </c>
      <c r="O8" s="1404">
        <f>E8*K8/K9</f>
        <v>27270</v>
      </c>
      <c r="P8" s="1404"/>
      <c r="Q8" s="1408" t="s">
        <v>6</v>
      </c>
      <c r="R8" s="1403"/>
      <c r="S8" s="1408"/>
      <c r="T8" s="49"/>
      <c r="U8" s="49"/>
      <c r="V8" s="53"/>
      <c r="W8" s="28" t="s">
        <v>43</v>
      </c>
      <c r="X8" s="29">
        <f t="shared" si="0"/>
        <v>1193</v>
      </c>
      <c r="Y8" s="30" t="s">
        <v>42</v>
      </c>
      <c r="Z8" s="31">
        <f>IF($CM$14=0,0,IF($AH$13&gt;0,0,CM40))</f>
        <v>1192</v>
      </c>
      <c r="AA8" s="26"/>
      <c r="AB8" s="26"/>
      <c r="AC8" s="506" t="s">
        <v>43</v>
      </c>
      <c r="AD8" s="510" t="str">
        <f t="shared" si="1"/>
        <v>OK</v>
      </c>
      <c r="AE8" s="502">
        <f>IF(AG6&gt;0,"限度超過",U20+U30+U40+U50+U60+U80)</f>
        <v>12000</v>
      </c>
      <c r="AF8" s="26"/>
      <c r="AG8" s="26"/>
      <c r="AH8" s="26"/>
      <c r="AI8" s="173"/>
      <c r="AJ8" s="173"/>
      <c r="AK8" s="173"/>
      <c r="AL8" s="173"/>
      <c r="AM8" s="173"/>
      <c r="AN8" s="173"/>
      <c r="AO8" s="173"/>
      <c r="AP8" s="173"/>
      <c r="AQ8" s="173"/>
      <c r="AR8" s="173"/>
      <c r="AS8" s="173"/>
      <c r="AT8" s="173"/>
      <c r="AU8" s="173"/>
      <c r="AV8" s="173"/>
      <c r="AW8" s="173"/>
      <c r="AX8" s="200"/>
      <c r="AY8" s="143"/>
      <c r="AZ8" s="223"/>
      <c r="BA8" s="222"/>
      <c r="BB8" s="222"/>
      <c r="BC8" s="200"/>
      <c r="BD8" s="401"/>
      <c r="BE8" s="401"/>
      <c r="BF8" s="401"/>
      <c r="BG8" s="401"/>
      <c r="BH8" s="401"/>
      <c r="BI8" s="401"/>
      <c r="BJ8" s="401"/>
      <c r="BK8" s="401"/>
      <c r="BL8" s="401"/>
      <c r="BM8" s="401"/>
      <c r="BN8" s="401"/>
      <c r="BO8" s="401"/>
      <c r="BP8" s="401"/>
      <c r="BQ8" s="401"/>
      <c r="BR8" s="401"/>
      <c r="BS8" s="200"/>
      <c r="BT8" s="200"/>
      <c r="BU8" s="200"/>
      <c r="BV8" s="200"/>
      <c r="BW8" s="12"/>
      <c r="BX8" s="32" t="s">
        <v>8</v>
      </c>
      <c r="BY8" s="45">
        <f>K8</f>
        <v>12</v>
      </c>
      <c r="BZ8" s="45">
        <f t="shared" ref="BZ8:CB9" si="2">BY8</f>
        <v>12</v>
      </c>
      <c r="CA8" s="45">
        <f t="shared" si="2"/>
        <v>12</v>
      </c>
      <c r="CB8" s="45">
        <f t="shared" si="2"/>
        <v>12</v>
      </c>
      <c r="CC8" s="4"/>
      <c r="CD8" s="46" t="s">
        <v>17</v>
      </c>
      <c r="CE8" s="54">
        <f>入力画面!E64</f>
        <v>26060</v>
      </c>
      <c r="CF8" s="54">
        <f>ROUNDUP(CE8*CF6/10,-1)</f>
        <v>18250</v>
      </c>
      <c r="CG8" s="54">
        <f>ROUNDUP(CE8*CG6/10,-1)</f>
        <v>13030</v>
      </c>
      <c r="CH8" s="54">
        <f>ROUNDUP(CE8*CH6/10,-1)</f>
        <v>5220</v>
      </c>
      <c r="CI8" s="13"/>
      <c r="CK8" s="1328" t="s">
        <v>212</v>
      </c>
      <c r="CL8" s="1328"/>
      <c r="CM8" s="1328"/>
      <c r="CN8" s="1328"/>
      <c r="CR8" s="56"/>
    </row>
    <row r="9" spans="1:96" ht="27.75" customHeight="1">
      <c r="A9" s="1418"/>
      <c r="B9" s="1277"/>
      <c r="C9" s="855"/>
      <c r="D9" s="1419"/>
      <c r="E9" s="1376"/>
      <c r="F9" s="1376"/>
      <c r="G9" s="1376"/>
      <c r="H9" s="855"/>
      <c r="I9" s="12"/>
      <c r="J9" s="855"/>
      <c r="K9" s="55">
        <v>12</v>
      </c>
      <c r="L9" s="12" t="s">
        <v>5</v>
      </c>
      <c r="M9" s="1380"/>
      <c r="N9" s="1377"/>
      <c r="O9" s="1404"/>
      <c r="P9" s="1404"/>
      <c r="Q9" s="1408"/>
      <c r="R9" s="1403"/>
      <c r="S9" s="1408"/>
      <c r="T9" s="49" t="s">
        <v>113</v>
      </c>
      <c r="U9" s="49"/>
      <c r="V9" s="53"/>
      <c r="W9" s="28" t="s">
        <v>37</v>
      </c>
      <c r="X9" s="29">
        <f t="shared" si="0"/>
        <v>1193</v>
      </c>
      <c r="Y9" s="1423" t="s">
        <v>44</v>
      </c>
      <c r="Z9" s="1394">
        <f>IF(AH13&gt;0,0,X5+X6+X7+X8+X9+X10+Z5+Z6+Z7+Z8)</f>
        <v>12000</v>
      </c>
      <c r="AA9" s="26"/>
      <c r="AB9" s="26"/>
      <c r="AC9" s="506" t="s">
        <v>37</v>
      </c>
      <c r="AD9" s="510" t="str">
        <f t="shared" si="1"/>
        <v>OK</v>
      </c>
      <c r="AE9" s="503" t="str">
        <f>IF(AG6&gt;0,"限度超過",IF(Z9=AE8,"OK","エラー"))</f>
        <v>OK</v>
      </c>
      <c r="AF9" s="473"/>
      <c r="AG9" s="26"/>
      <c r="AH9" s="4"/>
      <c r="AI9" s="176"/>
      <c r="AJ9" s="215" t="s">
        <v>1</v>
      </c>
      <c r="AK9" s="174"/>
      <c r="AL9" s="174"/>
      <c r="AM9" s="174"/>
      <c r="AN9" s="174"/>
      <c r="AO9" s="174"/>
      <c r="AP9" s="174"/>
      <c r="AQ9" s="174"/>
      <c r="AR9" s="174"/>
      <c r="AS9" s="174"/>
      <c r="AT9" s="3"/>
      <c r="AU9" s="3"/>
      <c r="AV9" s="174"/>
      <c r="AW9" s="174"/>
      <c r="AX9" s="12"/>
      <c r="AY9" s="143"/>
      <c r="AZ9" s="223"/>
      <c r="BB9" s="194"/>
      <c r="BC9" s="12"/>
      <c r="BE9" s="57"/>
      <c r="BG9" s="57"/>
      <c r="BH9" s="12"/>
      <c r="BJ9" s="57"/>
      <c r="BL9" s="57"/>
      <c r="BM9" s="12"/>
      <c r="BO9" s="57"/>
      <c r="BQ9" s="57"/>
      <c r="BR9" s="12"/>
      <c r="BS9" s="12"/>
      <c r="BT9" s="12"/>
      <c r="BU9" s="12"/>
      <c r="BV9" s="12"/>
      <c r="BW9" s="12"/>
      <c r="BX9" s="32" t="s">
        <v>25</v>
      </c>
      <c r="BY9" s="45">
        <f>K9</f>
        <v>12</v>
      </c>
      <c r="BZ9" s="45">
        <f t="shared" si="2"/>
        <v>12</v>
      </c>
      <c r="CA9" s="45">
        <f t="shared" si="2"/>
        <v>12</v>
      </c>
      <c r="CB9" s="45">
        <f t="shared" si="2"/>
        <v>12</v>
      </c>
      <c r="CC9" s="4"/>
      <c r="CD9" s="46" t="s">
        <v>1</v>
      </c>
      <c r="CE9" s="54">
        <f>入力画面!E65</f>
        <v>27270</v>
      </c>
      <c r="CF9" s="54">
        <f>ROUNDUP(CE9*CF6/10,-1)</f>
        <v>19090</v>
      </c>
      <c r="CG9" s="54">
        <f>ROUNDUP(CE9*CG6/10,-1)</f>
        <v>13640</v>
      </c>
      <c r="CH9" s="54">
        <f>ROUNDUP(CE9*CH6/10,-1)</f>
        <v>5460</v>
      </c>
      <c r="CI9" s="13"/>
      <c r="CK9" s="1328"/>
      <c r="CL9" s="1328"/>
      <c r="CM9" s="1328"/>
      <c r="CN9" s="1328"/>
      <c r="CR9" s="56"/>
    </row>
    <row r="10" spans="1:96" ht="27.75" customHeight="1">
      <c r="A10" s="165"/>
      <c r="B10" s="12"/>
      <c r="C10" s="12"/>
      <c r="D10" s="12"/>
      <c r="E10" s="12"/>
      <c r="F10" s="12"/>
      <c r="G10" s="12"/>
      <c r="H10" s="50"/>
      <c r="I10" s="12"/>
      <c r="J10" s="12"/>
      <c r="K10" s="76" t="s">
        <v>9</v>
      </c>
      <c r="L10" s="12"/>
      <c r="M10" s="12"/>
      <c r="N10" s="94"/>
      <c r="O10" s="42"/>
      <c r="P10" s="43"/>
      <c r="Q10" s="12"/>
      <c r="R10" s="12"/>
      <c r="S10" s="12" t="s">
        <v>116</v>
      </c>
      <c r="T10" s="161">
        <f>O8-O11</f>
        <v>8180</v>
      </c>
      <c r="U10" s="12" t="s">
        <v>6</v>
      </c>
      <c r="V10" s="12"/>
      <c r="W10" s="65" t="s">
        <v>38</v>
      </c>
      <c r="X10" s="29">
        <f t="shared" si="0"/>
        <v>1193</v>
      </c>
      <c r="Y10" s="1424"/>
      <c r="Z10" s="1425"/>
      <c r="AA10" s="4"/>
      <c r="AB10" s="4"/>
      <c r="AC10" s="506" t="s">
        <v>38</v>
      </c>
      <c r="AD10" s="510" t="str">
        <f t="shared" si="1"/>
        <v>OK</v>
      </c>
      <c r="AE10" s="502">
        <f>IF(AH13&gt;0,0,L87)</f>
        <v>12000</v>
      </c>
      <c r="AF10" s="474">
        <f>E8-E11</f>
        <v>8180</v>
      </c>
      <c r="AG10" s="4"/>
      <c r="AH10" s="4"/>
      <c r="AI10" s="178" t="s">
        <v>112</v>
      </c>
      <c r="AJ10" s="177">
        <f>IF(T10=0,0,O11/(K17+K27+K37+K47+K57+K67+K77))</f>
        <v>1591</v>
      </c>
      <c r="AK10" s="179"/>
      <c r="AL10" s="179"/>
      <c r="AM10" s="179"/>
      <c r="AN10" s="179"/>
      <c r="AO10" s="179"/>
      <c r="AP10" s="179"/>
      <c r="AQ10" s="179"/>
      <c r="AR10" s="179"/>
      <c r="AS10" s="179"/>
      <c r="AT10" s="3"/>
      <c r="AU10" s="3"/>
      <c r="AV10" s="179"/>
      <c r="AW10" s="179"/>
      <c r="AX10" s="12"/>
      <c r="AY10" s="1347" t="s">
        <v>269</v>
      </c>
      <c r="AZ10" s="1348"/>
      <c r="BA10" s="1349"/>
      <c r="BB10" s="465">
        <f>BB20+BB30+BB40+BB50+BB60+BB70+BB80</f>
        <v>12000</v>
      </c>
      <c r="BC10" s="12"/>
      <c r="BD10" s="142"/>
      <c r="BE10" s="57"/>
      <c r="BH10" s="12"/>
      <c r="BJ10" s="57"/>
      <c r="BM10" s="12"/>
      <c r="BO10" s="57"/>
      <c r="BR10" s="12"/>
      <c r="BS10" s="12"/>
      <c r="BT10" s="12"/>
      <c r="BU10" s="12"/>
      <c r="BV10" s="12"/>
      <c r="BW10" s="12"/>
      <c r="BX10" s="67" t="s">
        <v>27</v>
      </c>
      <c r="BY10" s="44">
        <v>0</v>
      </c>
      <c r="BZ10" s="45">
        <f>ROUNDDOWN(BZ7*BZ8/BZ9,0)</f>
        <v>19090</v>
      </c>
      <c r="CA10" s="45">
        <f>ROUNDDOWN(CA7*CA8/CA9,0)</f>
        <v>13640</v>
      </c>
      <c r="CB10" s="45">
        <f>ROUNDDOWN(CB7*CB8/CB9,0)</f>
        <v>5460</v>
      </c>
      <c r="CC10" s="4"/>
      <c r="CD10" s="46" t="s">
        <v>18</v>
      </c>
      <c r="CE10" s="54">
        <f>入力画面!E66</f>
        <v>660000</v>
      </c>
      <c r="CF10" s="48"/>
      <c r="CG10" s="48"/>
      <c r="CH10" s="48"/>
      <c r="CI10" s="13"/>
      <c r="CR10" s="56"/>
    </row>
    <row r="11" spans="1:96" ht="16.5" customHeight="1">
      <c r="A11" s="1418"/>
      <c r="B11" s="1277"/>
      <c r="C11" s="855" t="s">
        <v>24</v>
      </c>
      <c r="D11" s="1419" t="s">
        <v>123</v>
      </c>
      <c r="E11" s="1376">
        <f>IF(D5=0,0,IF(D5=7,CF9,IF(D5=5,CG9,IF(D5=2,CH9,"軽減誤り"))))</f>
        <v>19090</v>
      </c>
      <c r="F11" s="1376"/>
      <c r="G11" s="1376"/>
      <c r="H11" s="855" t="s">
        <v>109</v>
      </c>
      <c r="I11" s="12"/>
      <c r="J11" s="855" t="s">
        <v>59</v>
      </c>
      <c r="K11" s="51">
        <f>MAX(BV76:BV82)</f>
        <v>12</v>
      </c>
      <c r="L11" s="52" t="s">
        <v>5</v>
      </c>
      <c r="M11" s="1380" t="s">
        <v>122</v>
      </c>
      <c r="N11" s="1377" t="s">
        <v>14</v>
      </c>
      <c r="O11" s="1404">
        <f>E11*K11/K12</f>
        <v>19090</v>
      </c>
      <c r="P11" s="1404"/>
      <c r="Q11" s="1408" t="s">
        <v>6</v>
      </c>
      <c r="R11" s="12"/>
      <c r="S11" s="12"/>
      <c r="T11" s="49"/>
      <c r="U11" s="49"/>
      <c r="V11" s="12"/>
      <c r="W11" s="1463" t="s">
        <v>120</v>
      </c>
      <c r="X11" s="1464"/>
      <c r="Y11" s="1465">
        <f>IF(Z9=0,0,Z9/K8)</f>
        <v>1000</v>
      </c>
      <c r="Z11" s="1466"/>
      <c r="AA11" s="4"/>
      <c r="AB11" s="4"/>
      <c r="AC11" s="506" t="s">
        <v>39</v>
      </c>
      <c r="AD11" s="508" t="str">
        <f>AM22</f>
        <v>OK</v>
      </c>
      <c r="AE11" s="503" t="str">
        <f>IF(Z9=AE10,"OK","エラー")</f>
        <v>OK</v>
      </c>
      <c r="AF11" s="475"/>
      <c r="AG11" s="95" t="s">
        <v>167</v>
      </c>
      <c r="AH11" s="1426" t="s">
        <v>142</v>
      </c>
      <c r="AI11" s="174"/>
      <c r="AJ11" s="174"/>
      <c r="AK11" s="174"/>
      <c r="AL11" s="174"/>
      <c r="AM11" s="174"/>
      <c r="AN11" s="174"/>
      <c r="AO11" s="1439" t="s">
        <v>217</v>
      </c>
      <c r="AP11" s="1439"/>
      <c r="AQ11" s="1439"/>
      <c r="AR11" s="1439"/>
      <c r="AS11" s="174"/>
      <c r="AT11" s="3"/>
      <c r="AU11" s="3"/>
      <c r="AV11" s="174"/>
      <c r="AW11" s="174"/>
      <c r="AX11" s="12"/>
      <c r="AY11" s="143"/>
      <c r="AZ11" s="57"/>
      <c r="BB11" s="1317" t="s">
        <v>268</v>
      </c>
      <c r="BC11" s="12"/>
      <c r="BD11" s="142"/>
      <c r="BE11" s="57"/>
      <c r="BH11" s="12"/>
      <c r="BJ11" s="57"/>
      <c r="BM11" s="12"/>
      <c r="BO11" s="57"/>
      <c r="BR11" s="12"/>
      <c r="BS11" s="12"/>
      <c r="BT11" s="12"/>
      <c r="BU11" s="12"/>
      <c r="BV11" s="12"/>
      <c r="BW11" s="12"/>
      <c r="BX11" s="4"/>
      <c r="BY11" s="164"/>
      <c r="BZ11" s="26"/>
      <c r="CA11" s="26"/>
      <c r="CB11" s="26"/>
      <c r="CC11" s="4"/>
      <c r="CD11" s="35" t="s">
        <v>21</v>
      </c>
      <c r="CE11" s="54">
        <f>入力画面!E67</f>
        <v>430000</v>
      </c>
      <c r="CF11" s="48"/>
      <c r="CG11" s="48"/>
      <c r="CH11" s="48"/>
      <c r="CI11" s="13"/>
      <c r="CM11" s="294"/>
      <c r="CN11" s="294"/>
      <c r="CO11" s="294"/>
      <c r="CP11" s="294"/>
      <c r="CQ11" s="294"/>
      <c r="CR11" s="311"/>
    </row>
    <row r="12" spans="1:96" ht="16.5" customHeight="1" thickBot="1">
      <c r="A12" s="1418"/>
      <c r="B12" s="1277"/>
      <c r="C12" s="855"/>
      <c r="D12" s="1419"/>
      <c r="E12" s="1376"/>
      <c r="F12" s="1376"/>
      <c r="G12" s="1376"/>
      <c r="H12" s="855"/>
      <c r="I12" s="12"/>
      <c r="J12" s="855"/>
      <c r="K12" s="55">
        <v>12</v>
      </c>
      <c r="L12" s="12" t="s">
        <v>5</v>
      </c>
      <c r="M12" s="1380"/>
      <c r="N12" s="1377"/>
      <c r="O12" s="1404"/>
      <c r="P12" s="1404"/>
      <c r="Q12" s="1408"/>
      <c r="R12" s="12"/>
      <c r="S12" s="12"/>
      <c r="T12" s="49" t="s">
        <v>114</v>
      </c>
      <c r="U12" s="49"/>
      <c r="V12" s="75" t="s">
        <v>118</v>
      </c>
      <c r="W12" s="4"/>
      <c r="X12" s="26"/>
      <c r="Y12" s="74"/>
      <c r="Z12" s="187"/>
      <c r="AA12" s="4"/>
      <c r="AB12" s="4"/>
      <c r="AC12" s="506" t="s">
        <v>40</v>
      </c>
      <c r="AD12" s="508" t="str">
        <f>AM23</f>
        <v>OK</v>
      </c>
      <c r="AE12" s="74"/>
      <c r="AF12" s="231"/>
      <c r="AG12" s="4"/>
      <c r="AH12" s="1427"/>
      <c r="AI12" s="174"/>
      <c r="AJ12" s="174"/>
      <c r="AK12" s="174"/>
      <c r="AL12" s="174"/>
      <c r="AM12" s="174"/>
      <c r="AN12" s="174"/>
      <c r="AO12" s="1439"/>
      <c r="AP12" s="1439"/>
      <c r="AQ12" s="1439"/>
      <c r="AR12" s="1439"/>
      <c r="AS12" s="174"/>
      <c r="AT12" s="294"/>
      <c r="AU12" s="294"/>
      <c r="AV12" s="174"/>
      <c r="AW12" s="174"/>
      <c r="AX12" s="12"/>
      <c r="AY12" s="143"/>
      <c r="AZ12" s="57"/>
      <c r="BB12" s="1318"/>
      <c r="BC12" s="12"/>
      <c r="BD12" s="142"/>
      <c r="BE12" s="57"/>
      <c r="BH12" s="12"/>
      <c r="BJ12" s="57"/>
      <c r="BM12" s="12"/>
      <c r="BO12" s="57"/>
      <c r="BR12" s="12"/>
      <c r="BS12" s="12"/>
      <c r="BT12" s="12"/>
      <c r="BU12" s="12"/>
      <c r="BV12" s="12"/>
      <c r="BW12" s="12"/>
      <c r="BX12" s="4"/>
      <c r="BY12" s="164"/>
      <c r="BZ12" s="26"/>
      <c r="CA12" s="26"/>
      <c r="CB12" s="26"/>
      <c r="CC12" s="4"/>
      <c r="CD12" s="185" t="s">
        <v>469</v>
      </c>
      <c r="CE12" s="184">
        <f>入力画面!E68</f>
        <v>13030</v>
      </c>
      <c r="CF12" s="716">
        <f>入力画面!G68</f>
        <v>3910</v>
      </c>
      <c r="CG12" s="716">
        <f>入力画面!J68</f>
        <v>6520</v>
      </c>
      <c r="CH12" s="716">
        <f>入力画面!N68</f>
        <v>10420</v>
      </c>
      <c r="CI12" s="13"/>
      <c r="CK12" s="295" t="s">
        <v>201</v>
      </c>
      <c r="CL12" s="278" t="s">
        <v>197</v>
      </c>
      <c r="CM12" s="296" t="s">
        <v>202</v>
      </c>
      <c r="CN12" s="297"/>
      <c r="CP12" s="294"/>
      <c r="CR12" s="56"/>
    </row>
    <row r="13" spans="1:96" ht="16.5" customHeight="1" thickTop="1" thickBot="1">
      <c r="A13" s="58"/>
      <c r="B13" s="59"/>
      <c r="C13" s="59"/>
      <c r="D13" s="52"/>
      <c r="E13" s="60"/>
      <c r="F13" s="52"/>
      <c r="G13" s="52"/>
      <c r="H13" s="27"/>
      <c r="I13" s="52"/>
      <c r="J13" s="27"/>
      <c r="K13" s="61"/>
      <c r="L13" s="52"/>
      <c r="M13" s="52"/>
      <c r="N13" s="62"/>
      <c r="O13" s="62"/>
      <c r="P13" s="52"/>
      <c r="Q13" s="63"/>
      <c r="R13" s="60"/>
      <c r="S13" s="59" t="s">
        <v>124</v>
      </c>
      <c r="T13" s="212">
        <f>K17+K27+K37+K47+K57+K67+K77</f>
        <v>12</v>
      </c>
      <c r="U13" s="59" t="s">
        <v>5</v>
      </c>
      <c r="V13" s="52" t="s">
        <v>125</v>
      </c>
      <c r="W13" s="188"/>
      <c r="X13" s="189">
        <f>IF(K8=0,0,T10/T13)</f>
        <v>682</v>
      </c>
      <c r="Y13" s="60" t="s">
        <v>6</v>
      </c>
      <c r="Z13" s="163"/>
      <c r="AA13" s="4"/>
      <c r="AB13" s="4"/>
      <c r="AC13" s="506" t="s">
        <v>41</v>
      </c>
      <c r="AD13" s="508" t="str">
        <f>AM24</f>
        <v>OK</v>
      </c>
      <c r="AE13" s="74"/>
      <c r="AF13" s="231"/>
      <c r="AG13" s="4"/>
      <c r="AH13" s="488">
        <f>AH15+AH25+AH35+AH45+AH55+AH65+AH75+AH104+AH114+AH124+AH134+AH144+AH154+AH164+AH193+AH203+AH213+AH223+AH233+AH243+AH253</f>
        <v>0</v>
      </c>
      <c r="AI13" s="174"/>
      <c r="AJ13" s="174"/>
      <c r="AK13" s="174"/>
      <c r="AL13" s="174"/>
      <c r="AM13" s="174"/>
      <c r="AN13" s="174"/>
      <c r="AO13" s="1322" t="s">
        <v>250</v>
      </c>
      <c r="AP13" s="1322"/>
      <c r="AQ13" s="485"/>
      <c r="AR13" s="485"/>
      <c r="AS13" s="174"/>
      <c r="AT13" s="1306" t="s">
        <v>243</v>
      </c>
      <c r="AU13" s="1306"/>
      <c r="AV13" s="380"/>
      <c r="AW13" s="380"/>
      <c r="AX13" s="379"/>
      <c r="AY13" s="1350" t="s">
        <v>243</v>
      </c>
      <c r="AZ13" s="1351"/>
      <c r="BA13" s="404"/>
      <c r="BB13" s="405"/>
      <c r="BC13" s="379"/>
      <c r="BD13" s="444"/>
      <c r="BE13" s="445"/>
      <c r="BF13" s="446"/>
      <c r="BG13" s="446"/>
      <c r="BH13" s="447"/>
      <c r="BI13" s="446"/>
      <c r="BJ13" s="445"/>
      <c r="BK13" s="446"/>
      <c r="BL13" s="446"/>
      <c r="BM13" s="447"/>
      <c r="BN13" s="446"/>
      <c r="BO13" s="445"/>
      <c r="BP13" s="446"/>
      <c r="BQ13" s="459"/>
      <c r="BR13" s="12"/>
      <c r="BS13" s="12"/>
      <c r="BT13" s="12"/>
      <c r="BU13" s="12"/>
      <c r="BV13" s="12"/>
      <c r="BW13" s="12"/>
      <c r="BX13" s="4"/>
      <c r="BY13" s="164"/>
      <c r="BZ13" s="26"/>
      <c r="CA13" s="26"/>
      <c r="CB13" s="26"/>
      <c r="CC13" s="4"/>
      <c r="CD13" s="186"/>
      <c r="CE13" s="26"/>
      <c r="CF13" s="4"/>
      <c r="CG13" s="4"/>
      <c r="CH13" s="4"/>
      <c r="CI13" s="13"/>
      <c r="CK13" s="281"/>
      <c r="CL13" s="277"/>
      <c r="CM13" s="298" t="s">
        <v>44</v>
      </c>
      <c r="CN13" s="299"/>
      <c r="CP13" s="300"/>
      <c r="CR13" s="56"/>
    </row>
    <row r="14" spans="1:96" ht="20.25" customHeight="1">
      <c r="A14" s="68"/>
      <c r="B14" s="68"/>
      <c r="C14" s="68"/>
      <c r="E14" s="69"/>
      <c r="J14" s="9"/>
      <c r="K14" s="18"/>
      <c r="Q14" s="70"/>
      <c r="R14" s="69"/>
      <c r="S14" s="68"/>
      <c r="T14" s="1260" t="s">
        <v>74</v>
      </c>
      <c r="U14" s="1260"/>
      <c r="V14" s="1260"/>
      <c r="W14" s="1260"/>
      <c r="X14" s="1260"/>
      <c r="Y14" s="1260"/>
      <c r="Z14" s="1260"/>
      <c r="AA14" s="71"/>
      <c r="AB14" s="71"/>
      <c r="AC14" s="506" t="s">
        <v>42</v>
      </c>
      <c r="AD14" s="508" t="str">
        <f>AM25</f>
        <v>OK</v>
      </c>
      <c r="AE14" s="71"/>
      <c r="AF14" s="232"/>
      <c r="AG14" s="71"/>
      <c r="AH14" s="4"/>
      <c r="AI14" s="170"/>
      <c r="AJ14" s="1354" t="s">
        <v>270</v>
      </c>
      <c r="AK14" s="1355"/>
      <c r="AL14" s="1355"/>
      <c r="AM14" s="1356"/>
      <c r="AN14" s="170"/>
      <c r="AO14" s="324" t="s">
        <v>51</v>
      </c>
      <c r="AP14" s="346" t="s">
        <v>214</v>
      </c>
      <c r="AQ14" s="1323" t="s">
        <v>213</v>
      </c>
      <c r="AR14" s="1323"/>
      <c r="AS14" s="170"/>
      <c r="AT14" s="1310" t="s">
        <v>242</v>
      </c>
      <c r="AU14" s="1310"/>
      <c r="AV14" s="1310"/>
      <c r="AW14" s="1310"/>
      <c r="AX14" s="379"/>
      <c r="AY14" s="406" t="s">
        <v>257</v>
      </c>
      <c r="AZ14" s="1308" t="s">
        <v>258</v>
      </c>
      <c r="BA14" s="1308"/>
      <c r="BB14" s="1309"/>
      <c r="BC14" s="379"/>
      <c r="BD14" s="1267" t="s">
        <v>259</v>
      </c>
      <c r="BE14" s="1268"/>
      <c r="BF14" s="1268"/>
      <c r="BG14" s="1268"/>
      <c r="BH14" s="12"/>
      <c r="BI14" s="440" t="s">
        <v>262</v>
      </c>
      <c r="BJ14" s="1269" t="s">
        <v>263</v>
      </c>
      <c r="BK14" s="1269"/>
      <c r="BL14" s="1269"/>
      <c r="BM14" s="12"/>
      <c r="BN14" s="12"/>
      <c r="BO14" s="143" t="s">
        <v>126</v>
      </c>
      <c r="BP14" s="12" t="s">
        <v>88</v>
      </c>
      <c r="BQ14" s="449"/>
      <c r="BR14" s="12"/>
      <c r="BS14" s="12"/>
      <c r="BT14" s="12"/>
      <c r="BU14" s="12"/>
      <c r="BV14" s="12"/>
      <c r="BW14" s="12"/>
      <c r="BX14" s="4"/>
      <c r="BY14" s="4"/>
      <c r="BZ14" s="4"/>
      <c r="CA14" s="4"/>
      <c r="CB14" s="4"/>
      <c r="CC14" s="4"/>
      <c r="CI14" s="13"/>
      <c r="CK14" s="280"/>
      <c r="CL14" s="282" t="s">
        <v>75</v>
      </c>
      <c r="CM14" s="29">
        <f>IF($AH$13&gt;0,0,L87+L176+L265)</f>
        <v>16100</v>
      </c>
      <c r="CN14" s="285"/>
      <c r="CP14" s="294"/>
      <c r="CR14" s="56"/>
    </row>
    <row r="15" spans="1:96" ht="18" customHeight="1">
      <c r="A15" s="196" t="s">
        <v>127</v>
      </c>
      <c r="B15" s="1382">
        <f>入力画面!C12</f>
        <v>11</v>
      </c>
      <c r="C15" s="1382"/>
      <c r="D15" s="1382"/>
      <c r="E15" s="198" t="s">
        <v>11</v>
      </c>
      <c r="F15" s="1412" t="s">
        <v>57</v>
      </c>
      <c r="G15" s="1412"/>
      <c r="H15" s="1412"/>
      <c r="I15" s="1449">
        <f>IF(入力画面!I15&gt;0,1,0)</f>
        <v>0</v>
      </c>
      <c r="J15" s="1450"/>
      <c r="K15" s="1373">
        <f>IF(H20=0,0,IF($K$8=0, "加入月が未入力です!！",IF($L$87=$A$87,"限度超過額に達しているため計算不可能!!",IF(U17-U16=U18,"エラー名前を入力されているが加入月未入力!！",IF(H20&gt;K17,"加入月未入力エラー!！",0)))))</f>
        <v>0</v>
      </c>
      <c r="L15" s="1374"/>
      <c r="M15" s="1374"/>
      <c r="N15" s="1374"/>
      <c r="O15" s="1374"/>
      <c r="P15" s="1374"/>
      <c r="Q15" s="1374"/>
      <c r="R15" s="1374"/>
      <c r="S15" s="1375"/>
      <c r="T15" s="197" t="s">
        <v>47</v>
      </c>
      <c r="U15" s="1383" t="str">
        <f>IF(U20&gt;0,"医療分",0)</f>
        <v>医療分</v>
      </c>
      <c r="V15" s="1384"/>
      <c r="W15" s="1385" t="s">
        <v>46</v>
      </c>
      <c r="X15" s="1164"/>
      <c r="Y15" s="1164"/>
      <c r="Z15" s="1165"/>
      <c r="AA15" s="73"/>
      <c r="AB15" s="73"/>
      <c r="AC15" s="507" t="s">
        <v>117</v>
      </c>
      <c r="AD15" s="504" t="str">
        <f>AM26</f>
        <v>OK</v>
      </c>
      <c r="AE15" s="73"/>
      <c r="AF15" s="238" t="s">
        <v>117</v>
      </c>
      <c r="AG15" s="73"/>
      <c r="AH15" s="276">
        <f>IF(K17=0,0,IF(K17&lt;12,1,0))</f>
        <v>0</v>
      </c>
      <c r="AI15" s="175"/>
      <c r="AJ15" s="1357"/>
      <c r="AK15" s="1358"/>
      <c r="AL15" s="1358"/>
      <c r="AM15" s="1359"/>
      <c r="AN15" s="369" t="s">
        <v>51</v>
      </c>
      <c r="AO15" s="1324" t="s">
        <v>46</v>
      </c>
      <c r="AP15" s="1325"/>
      <c r="AQ15" s="1399">
        <f>IF(R17+R20=0,0,IF(K18&gt;K17,"期割がアンマッチ使用禁止↓",0))</f>
        <v>0</v>
      </c>
      <c r="AR15" s="1400"/>
      <c r="AS15" s="175"/>
      <c r="AT15" s="1311" t="s">
        <v>46</v>
      </c>
      <c r="AU15" s="1312"/>
      <c r="AV15" s="1313"/>
      <c r="AW15" s="1314"/>
      <c r="AX15" s="379"/>
      <c r="AY15" s="1319" t="s">
        <v>46</v>
      </c>
      <c r="AZ15" s="1312"/>
      <c r="BA15" s="1313">
        <f>IF($R$17+$R20=0,0,IF($K$18&gt;$K$17,"期割がアンマッチ使用禁止↓",0))</f>
        <v>0</v>
      </c>
      <c r="BB15" s="1346"/>
      <c r="BC15" s="379"/>
      <c r="BD15" s="1272" t="s">
        <v>46</v>
      </c>
      <c r="BE15" s="1273"/>
      <c r="BF15" s="1304" t="s">
        <v>128</v>
      </c>
      <c r="BG15" s="1305"/>
      <c r="BH15" s="12"/>
      <c r="BI15" s="1139" t="s">
        <v>89</v>
      </c>
      <c r="BJ15" s="1273"/>
      <c r="BK15" s="441"/>
      <c r="BL15" s="442"/>
      <c r="BM15" s="12"/>
      <c r="BN15" s="1139" t="s">
        <v>46</v>
      </c>
      <c r="BO15" s="1273"/>
      <c r="BP15" s="1270"/>
      <c r="BQ15" s="1278"/>
      <c r="BR15" s="12"/>
      <c r="BS15" s="12"/>
      <c r="BT15" s="12"/>
      <c r="BU15" s="74"/>
      <c r="BV15" s="74"/>
      <c r="BW15" s="12"/>
      <c r="BX15" s="4"/>
      <c r="BY15" s="4"/>
      <c r="BZ15" s="4"/>
      <c r="CA15" s="4"/>
      <c r="CB15" s="4"/>
      <c r="CC15" s="4"/>
      <c r="CD15" s="4"/>
      <c r="CE15" s="4"/>
      <c r="CF15" s="4"/>
      <c r="CG15" s="4"/>
      <c r="CH15" s="4"/>
      <c r="CI15" s="13"/>
      <c r="CK15" s="280"/>
      <c r="CL15" s="283" t="s">
        <v>186</v>
      </c>
      <c r="CM15" s="288">
        <f>CM14-(SUM(CM16:CM24))</f>
        <v>1700</v>
      </c>
      <c r="CN15" s="280"/>
      <c r="CP15" s="294"/>
      <c r="CR15" s="56"/>
    </row>
    <row r="16" spans="1:96" ht="18" customHeight="1">
      <c r="A16" s="165"/>
      <c r="B16" s="12"/>
      <c r="C16" s="75" t="s">
        <v>33</v>
      </c>
      <c r="D16" s="12"/>
      <c r="E16" s="12"/>
      <c r="F16" s="12"/>
      <c r="G16" s="12"/>
      <c r="H16" s="50"/>
      <c r="I16" s="12"/>
      <c r="J16" s="12"/>
      <c r="K16" s="76" t="s">
        <v>9</v>
      </c>
      <c r="L16" s="12"/>
      <c r="M16" s="1414"/>
      <c r="N16" s="1414"/>
      <c r="O16" s="1414"/>
      <c r="P16" s="1414"/>
      <c r="Q16" s="1414"/>
      <c r="R16" s="1414"/>
      <c r="S16" s="1415"/>
      <c r="T16" s="77" t="s">
        <v>30</v>
      </c>
      <c r="U16" s="78">
        <f>R17+R20</f>
        <v>3900</v>
      </c>
      <c r="V16" s="79" t="s">
        <v>6</v>
      </c>
      <c r="W16" s="80" t="s">
        <v>34</v>
      </c>
      <c r="X16" s="29">
        <f>IF($AH$13&gt;0,0,IF($AG$2&gt;0,"限度超過",X5-(X26+X36+X46+X56+X66+X76)))</f>
        <v>1267</v>
      </c>
      <c r="Y16" s="80" t="s">
        <v>39</v>
      </c>
      <c r="Z16" s="31">
        <f>IF($AH$13&gt;0,0,IF($AG$2&gt;0,"限度超過",Z5-(Z26+Z36+Z46+Z56+Z66+Z76)))</f>
        <v>1192</v>
      </c>
      <c r="AA16" s="26"/>
      <c r="AB16" s="26"/>
      <c r="AC16" s="501"/>
      <c r="AD16" s="26"/>
      <c r="AE16" s="489"/>
      <c r="AF16" s="219">
        <f>AF17+AF20+AF23</f>
        <v>3900</v>
      </c>
      <c r="AG16" s="26"/>
      <c r="AH16" s="26"/>
      <c r="AI16" s="173"/>
      <c r="AJ16" s="22" t="s">
        <v>34</v>
      </c>
      <c r="AK16" s="23">
        <f>IF($AG$2&gt;0,0,X16+X26+X36+X46+X56+X66+X76)</f>
        <v>1267</v>
      </c>
      <c r="AL16" s="476" t="s">
        <v>39</v>
      </c>
      <c r="AM16" s="477">
        <f>IF($AG$2&gt;0,0,Z16+Z26+Z36+Z46+Z56+Z66+Z76)</f>
        <v>1192</v>
      </c>
      <c r="AN16" s="174"/>
      <c r="AO16" s="325" t="s">
        <v>34</v>
      </c>
      <c r="AP16" s="326">
        <f>AR20-(AP17+AP18+AP19+AP20+AP21+AR16+AR17+AR18+AR19)</f>
        <v>1700</v>
      </c>
      <c r="AQ16" s="327" t="s">
        <v>39</v>
      </c>
      <c r="AR16" s="358">
        <f>ROUNDDOWN(AR20/10,-2)</f>
        <v>1600</v>
      </c>
      <c r="AS16" s="179"/>
      <c r="AT16" s="316" t="s">
        <v>34</v>
      </c>
      <c r="AU16" s="377">
        <f>IF($AG$2&gt;0,"限度超過",AP16-AZ105-AZ194)</f>
        <v>1267</v>
      </c>
      <c r="AV16" s="314" t="s">
        <v>39</v>
      </c>
      <c r="AW16" s="378">
        <f>IF($AG$2&gt;0,"限度超過",AR16-BB105-BB194)</f>
        <v>1192</v>
      </c>
      <c r="AX16" s="379"/>
      <c r="AY16" s="407" t="s">
        <v>34</v>
      </c>
      <c r="AZ16" s="313">
        <f>AU16</f>
        <v>1267</v>
      </c>
      <c r="BA16" s="314" t="s">
        <v>39</v>
      </c>
      <c r="BB16" s="408">
        <f>AW16</f>
        <v>1192</v>
      </c>
      <c r="BC16" s="379"/>
      <c r="BD16" s="450" t="s">
        <v>34</v>
      </c>
      <c r="BE16" s="81">
        <f t="shared" ref="BE16:BE21" si="3">IF($A$87=$L$87,"限度超過",X5-(AZ16+AZ26+AZ36+AZ46+AZ56+AZ66+AZ76))</f>
        <v>0</v>
      </c>
      <c r="BF16" s="80" t="s">
        <v>39</v>
      </c>
      <c r="BG16" s="29">
        <f>IF($A$87=$L$87,"限度超過",Z5-(BB16+BB26+BB36+BB46+BB56+BB66+BB76))</f>
        <v>0</v>
      </c>
      <c r="BH16" s="12"/>
      <c r="BI16" s="80" t="s">
        <v>34</v>
      </c>
      <c r="BJ16" s="29">
        <f t="shared" ref="BJ16:BJ21" si="4">IF($A$87=$L$87,"限度超過",IF(BE16=0,0,BE16/$S$5))</f>
        <v>0</v>
      </c>
      <c r="BK16" s="80" t="s">
        <v>39</v>
      </c>
      <c r="BL16" s="29">
        <f>IF($A$87=$L$87,"限度超過",IF(BG16=0,0,BG16/$S$5))</f>
        <v>0</v>
      </c>
      <c r="BM16" s="12"/>
      <c r="BN16" s="80" t="s">
        <v>34</v>
      </c>
      <c r="BO16" s="29">
        <f t="shared" ref="BO16:BO21" si="5">IF($A$87=$L$87,"限度超過",IF($S$5&lt;=1,BE16,BE16-(BO26+BO36+BO46+BO56+BO66+BO76)))</f>
        <v>0</v>
      </c>
      <c r="BP16" s="80" t="s">
        <v>39</v>
      </c>
      <c r="BQ16" s="460">
        <f>IF($A$87=$L$87,"限度超過",IF($S$5&lt;=1,BG16,BG16-(BQ26+BQ36+BQ46+BQ56+BQ66+BQ76)))</f>
        <v>0</v>
      </c>
      <c r="BR16" s="12"/>
      <c r="BS16" s="12"/>
      <c r="BT16" s="12"/>
      <c r="BU16" s="83"/>
      <c r="BV16" s="83"/>
      <c r="BW16" s="12"/>
      <c r="BX16" s="32"/>
      <c r="BY16" s="33" t="str">
        <f>CE6</f>
        <v>料率</v>
      </c>
      <c r="BZ16" s="33">
        <f>CF6</f>
        <v>7</v>
      </c>
      <c r="CA16" s="33">
        <f>CG6</f>
        <v>5</v>
      </c>
      <c r="CB16" s="33">
        <f>CH6</f>
        <v>2</v>
      </c>
      <c r="CC16" s="713" t="s">
        <v>467</v>
      </c>
      <c r="CD16" s="4"/>
      <c r="CE16" s="74"/>
      <c r="CF16" s="84"/>
      <c r="CG16" s="84"/>
      <c r="CH16" s="84"/>
      <c r="CI16" s="13"/>
      <c r="CK16" s="280"/>
      <c r="CL16" s="283" t="s">
        <v>187</v>
      </c>
      <c r="CM16" s="288">
        <f>ROUNDDOWN($CM$14/10,-2)</f>
        <v>1600</v>
      </c>
      <c r="CN16" s="280"/>
      <c r="CP16" s="294"/>
      <c r="CR16" s="56"/>
    </row>
    <row r="17" spans="1:96" ht="18" customHeight="1">
      <c r="A17" s="1421" t="s">
        <v>0</v>
      </c>
      <c r="B17" s="1448" t="s">
        <v>129</v>
      </c>
      <c r="C17" s="1376">
        <f>入力画面!R14</f>
        <v>0</v>
      </c>
      <c r="D17" s="855" t="s">
        <v>58</v>
      </c>
      <c r="E17" s="1416">
        <f>IF(H20&gt;0,$CE$11, 0)</f>
        <v>430000</v>
      </c>
      <c r="F17" s="1380" t="s">
        <v>22</v>
      </c>
      <c r="G17" s="855" t="s">
        <v>59</v>
      </c>
      <c r="H17" s="85">
        <f>IF(H20&gt;0,$CE$7,0)</f>
        <v>8.98</v>
      </c>
      <c r="I17" s="1277" t="s">
        <v>22</v>
      </c>
      <c r="J17" s="855" t="s">
        <v>59</v>
      </c>
      <c r="K17" s="51">
        <f>入力画面!I13</f>
        <v>12</v>
      </c>
      <c r="L17" s="52" t="s">
        <v>5</v>
      </c>
      <c r="M17" s="1380"/>
      <c r="N17" s="1407"/>
      <c r="O17" s="86"/>
      <c r="P17" s="1377" t="s">
        <v>130</v>
      </c>
      <c r="Q17" s="1377"/>
      <c r="R17" s="1403">
        <f>ROUNDDOWN(IF(((C17-E17)*H17/H18)*K17/K18&lt;0,0,((C17-E17)*H17/H18)*K17/K18),0)</f>
        <v>0</v>
      </c>
      <c r="S17" s="1408" t="s">
        <v>6</v>
      </c>
      <c r="T17" s="72" t="s">
        <v>1</v>
      </c>
      <c r="U17" s="105">
        <f>T10-(U27+U37+U47+U57+U67+U77)</f>
        <v>8180</v>
      </c>
      <c r="V17" s="88" t="s">
        <v>6</v>
      </c>
      <c r="W17" s="30" t="s">
        <v>35</v>
      </c>
      <c r="X17" s="29">
        <f t="shared" ref="X17:Z21" si="6">IF($AH$13&gt;0,0,IF($AG$2&gt;0,"限度超過",X6-(X27+X37+X47+X57+X67+X77)))</f>
        <v>1193</v>
      </c>
      <c r="Y17" s="30" t="s">
        <v>40</v>
      </c>
      <c r="Z17" s="31">
        <f t="shared" si="6"/>
        <v>1192</v>
      </c>
      <c r="AA17" s="26"/>
      <c r="AB17" s="26"/>
      <c r="AC17" s="501"/>
      <c r="AD17" s="26"/>
      <c r="AE17" s="489"/>
      <c r="AF17" s="1360">
        <f>ROUNDDOWN(IF(((C17-E17)*H17/H18)&lt;0,0,((C17-E17)*H17/H18)),0)</f>
        <v>0</v>
      </c>
      <c r="AG17" s="26"/>
      <c r="AH17" s="26"/>
      <c r="AI17" s="173"/>
      <c r="AJ17" s="28" t="s">
        <v>35</v>
      </c>
      <c r="AK17" s="29">
        <f t="shared" ref="AK17:AM21" si="7">IF($AG$2&gt;0,0,X17+X27+X37+X47+X57+X67+X77)</f>
        <v>1193</v>
      </c>
      <c r="AL17" s="478" t="s">
        <v>40</v>
      </c>
      <c r="AM17" s="479">
        <f t="shared" si="7"/>
        <v>1192</v>
      </c>
      <c r="AN17" s="175"/>
      <c r="AO17" s="328" t="s">
        <v>35</v>
      </c>
      <c r="AP17" s="326">
        <f>ROUNDDOWN(AR20/10,-2)</f>
        <v>1600</v>
      </c>
      <c r="AQ17" s="327" t="s">
        <v>40</v>
      </c>
      <c r="AR17" s="358">
        <f>ROUNDDOWN(AR20/10,-2)</f>
        <v>1600</v>
      </c>
      <c r="AS17" s="179"/>
      <c r="AT17" s="316" t="s">
        <v>35</v>
      </c>
      <c r="AU17" s="377">
        <f t="shared" ref="AU17:AW21" si="8">IF($AG$2&gt;0,"限度超過",AP17-AZ106-AZ195)</f>
        <v>1193</v>
      </c>
      <c r="AV17" s="314" t="s">
        <v>40</v>
      </c>
      <c r="AW17" s="378">
        <f t="shared" si="8"/>
        <v>1192</v>
      </c>
      <c r="AX17" s="379"/>
      <c r="AY17" s="409" t="s">
        <v>35</v>
      </c>
      <c r="AZ17" s="313">
        <f t="shared" ref="AZ17:BB22" si="9">AU17</f>
        <v>1193</v>
      </c>
      <c r="BA17" s="314" t="s">
        <v>40</v>
      </c>
      <c r="BB17" s="408">
        <f t="shared" si="9"/>
        <v>1192</v>
      </c>
      <c r="BC17" s="379"/>
      <c r="BD17" s="451" t="s">
        <v>35</v>
      </c>
      <c r="BE17" s="81">
        <f t="shared" si="3"/>
        <v>0</v>
      </c>
      <c r="BF17" s="30" t="s">
        <v>40</v>
      </c>
      <c r="BG17" s="29">
        <f>IF($A$87=$L$87,"限度超過",Z6-(BB17+BB27+BB37+BB47+BB57+BB67+BB77))</f>
        <v>0</v>
      </c>
      <c r="BH17" s="12"/>
      <c r="BI17" s="30" t="s">
        <v>35</v>
      </c>
      <c r="BJ17" s="29">
        <f t="shared" si="4"/>
        <v>0</v>
      </c>
      <c r="BK17" s="30" t="s">
        <v>40</v>
      </c>
      <c r="BL17" s="29">
        <f>IF($A$87=$L$87,"限度超過",IF(BG17=0,0,BG17/$S$5))</f>
        <v>0</v>
      </c>
      <c r="BM17" s="12"/>
      <c r="BN17" s="30" t="s">
        <v>35</v>
      </c>
      <c r="BO17" s="29">
        <f t="shared" si="5"/>
        <v>0</v>
      </c>
      <c r="BP17" s="30" t="s">
        <v>40</v>
      </c>
      <c r="BQ17" s="460">
        <f>IF($A$87=$L$87,"限度超過",IF($S$5&lt;=1,BG17,BG17-(BQ27+BQ37+BQ47+BQ57+BQ67+BQ77)))</f>
        <v>0</v>
      </c>
      <c r="BR17" s="12"/>
      <c r="BS17" s="12"/>
      <c r="BT17" s="12"/>
      <c r="BU17" s="83"/>
      <c r="BV17" s="83"/>
      <c r="BW17" s="12"/>
      <c r="BX17" s="32" t="s">
        <v>17</v>
      </c>
      <c r="BY17" s="44">
        <v>0</v>
      </c>
      <c r="BZ17" s="45">
        <f>$CF$8</f>
        <v>18250</v>
      </c>
      <c r="CA17" s="45">
        <f>$CG$8</f>
        <v>13030</v>
      </c>
      <c r="CB17" s="45">
        <f>$CH$8</f>
        <v>5220</v>
      </c>
      <c r="CC17" s="713"/>
      <c r="CD17" s="4"/>
      <c r="CE17" s="89"/>
      <c r="CF17" s="4"/>
      <c r="CG17" s="4"/>
      <c r="CH17" s="4"/>
      <c r="CI17" s="13"/>
      <c r="CK17" s="280"/>
      <c r="CL17" s="283" t="s">
        <v>188</v>
      </c>
      <c r="CM17" s="288">
        <f t="shared" ref="CM17:CM24" si="10">ROUNDDOWN($CM$14/10,-2)</f>
        <v>1600</v>
      </c>
      <c r="CN17" s="280"/>
      <c r="CP17" s="294"/>
      <c r="CR17" s="311"/>
    </row>
    <row r="18" spans="1:96" ht="18" customHeight="1">
      <c r="A18" s="1421"/>
      <c r="B18" s="1448"/>
      <c r="C18" s="1376"/>
      <c r="D18" s="855"/>
      <c r="E18" s="1416"/>
      <c r="F18" s="1380"/>
      <c r="G18" s="855"/>
      <c r="H18" s="39">
        <v>100</v>
      </c>
      <c r="I18" s="1277"/>
      <c r="J18" s="855"/>
      <c r="K18" s="55">
        <v>12</v>
      </c>
      <c r="L18" s="12" t="s">
        <v>5</v>
      </c>
      <c r="M18" s="1380"/>
      <c r="N18" s="1407"/>
      <c r="O18" s="86"/>
      <c r="P18" s="1377"/>
      <c r="Q18" s="1377"/>
      <c r="R18" s="1403"/>
      <c r="S18" s="1408"/>
      <c r="T18" s="72" t="s">
        <v>29</v>
      </c>
      <c r="U18" s="87">
        <f>U16+U17</f>
        <v>12080</v>
      </c>
      <c r="V18" s="88" t="s">
        <v>6</v>
      </c>
      <c r="W18" s="30" t="s">
        <v>36</v>
      </c>
      <c r="X18" s="29">
        <f t="shared" si="6"/>
        <v>1193</v>
      </c>
      <c r="Y18" s="30" t="s">
        <v>41</v>
      </c>
      <c r="Z18" s="31">
        <f t="shared" si="6"/>
        <v>1192</v>
      </c>
      <c r="AA18" s="26"/>
      <c r="AB18" s="26"/>
      <c r="AC18" s="501"/>
      <c r="AD18" s="26"/>
      <c r="AE18" s="489"/>
      <c r="AF18" s="1360"/>
      <c r="AG18" s="26"/>
      <c r="AH18" s="26"/>
      <c r="AI18" s="173"/>
      <c r="AJ18" s="28" t="s">
        <v>36</v>
      </c>
      <c r="AK18" s="29">
        <f t="shared" si="7"/>
        <v>1193</v>
      </c>
      <c r="AL18" s="478" t="s">
        <v>41</v>
      </c>
      <c r="AM18" s="479">
        <f t="shared" si="7"/>
        <v>1192</v>
      </c>
      <c r="AN18" s="173"/>
      <c r="AO18" s="328" t="s">
        <v>36</v>
      </c>
      <c r="AP18" s="326">
        <f>ROUNDDOWN(AR20/10,-2)</f>
        <v>1600</v>
      </c>
      <c r="AQ18" s="327" t="s">
        <v>41</v>
      </c>
      <c r="AR18" s="358">
        <f>ROUNDDOWN(AR20/10,-2)</f>
        <v>1600</v>
      </c>
      <c r="AS18" s="173"/>
      <c r="AT18" s="316" t="s">
        <v>36</v>
      </c>
      <c r="AU18" s="377">
        <f t="shared" si="8"/>
        <v>1193</v>
      </c>
      <c r="AV18" s="314" t="s">
        <v>41</v>
      </c>
      <c r="AW18" s="378">
        <f t="shared" si="8"/>
        <v>1192</v>
      </c>
      <c r="AX18" s="379"/>
      <c r="AY18" s="409" t="s">
        <v>36</v>
      </c>
      <c r="AZ18" s="313">
        <f t="shared" si="9"/>
        <v>1193</v>
      </c>
      <c r="BA18" s="314" t="s">
        <v>41</v>
      </c>
      <c r="BB18" s="408">
        <f t="shared" si="9"/>
        <v>1192</v>
      </c>
      <c r="BC18" s="379"/>
      <c r="BD18" s="451" t="s">
        <v>36</v>
      </c>
      <c r="BE18" s="81">
        <f t="shared" si="3"/>
        <v>0</v>
      </c>
      <c r="BF18" s="30" t="s">
        <v>41</v>
      </c>
      <c r="BG18" s="29">
        <f>IF($A$87=$L$87,"限度超過",Z7-(BB18+BB28+BB38+BB48+BB58+BB68+BB78))</f>
        <v>0</v>
      </c>
      <c r="BH18" s="12"/>
      <c r="BI18" s="30" t="s">
        <v>36</v>
      </c>
      <c r="BJ18" s="29">
        <f t="shared" si="4"/>
        <v>0</v>
      </c>
      <c r="BK18" s="30" t="s">
        <v>41</v>
      </c>
      <c r="BL18" s="29">
        <f>IF($A$87=$L$87,"限度超過",IF(BG18=0,0,BG18/$S$5))</f>
        <v>0</v>
      </c>
      <c r="BM18" s="12"/>
      <c r="BN18" s="30" t="s">
        <v>36</v>
      </c>
      <c r="BO18" s="29">
        <f t="shared" si="5"/>
        <v>0</v>
      </c>
      <c r="BP18" s="30" t="s">
        <v>41</v>
      </c>
      <c r="BQ18" s="460">
        <f>IF($A$87=$L$87,"限度超過",IF($S$5&lt;=1,BG18,BG18-(BQ28+BQ38+BQ48+BQ58+BQ68+BQ78)))</f>
        <v>0</v>
      </c>
      <c r="BR18" s="12"/>
      <c r="BS18" s="12"/>
      <c r="BT18" s="12"/>
      <c r="BU18" s="83"/>
      <c r="BV18" s="83"/>
      <c r="BW18" s="12"/>
      <c r="BX18" s="32" t="s">
        <v>8</v>
      </c>
      <c r="BY18" s="45">
        <f>K20</f>
        <v>12</v>
      </c>
      <c r="BZ18" s="45">
        <f t="shared" ref="BZ18:CB20" si="11">BY18</f>
        <v>12</v>
      </c>
      <c r="CA18" s="45">
        <f t="shared" si="11"/>
        <v>12</v>
      </c>
      <c r="CB18" s="45">
        <f t="shared" si="11"/>
        <v>12</v>
      </c>
      <c r="CC18" s="713">
        <f>CB18</f>
        <v>12</v>
      </c>
      <c r="CD18" s="4"/>
      <c r="CE18" s="90"/>
      <c r="CF18" s="26"/>
      <c r="CG18" s="26"/>
      <c r="CH18" s="26"/>
      <c r="CI18" s="13"/>
      <c r="CK18" s="280"/>
      <c r="CL18" s="283" t="s">
        <v>189</v>
      </c>
      <c r="CM18" s="288">
        <f t="shared" si="10"/>
        <v>1600</v>
      </c>
      <c r="CN18" s="280"/>
      <c r="CP18" s="294"/>
      <c r="CQ18" s="294"/>
      <c r="CR18" s="311"/>
    </row>
    <row r="19" spans="1:96" ht="18" customHeight="1">
      <c r="A19" s="165"/>
      <c r="B19" s="12"/>
      <c r="C19" s="50"/>
      <c r="D19" s="12"/>
      <c r="E19" s="12"/>
      <c r="F19" s="12"/>
      <c r="G19" s="12"/>
      <c r="H19" s="91"/>
      <c r="I19" s="75"/>
      <c r="J19" s="75"/>
      <c r="K19" s="92"/>
      <c r="L19" s="75"/>
      <c r="M19" s="93"/>
      <c r="N19" s="714" t="str">
        <f>IF(入力画面!E12=1,"未就学児",0)</f>
        <v>未就学児</v>
      </c>
      <c r="O19" s="42">
        <f>IF(H20=0,0,$D$5)</f>
        <v>7</v>
      </c>
      <c r="P19" s="466" t="str">
        <f>IF(O20=0,0,"軽減額")</f>
        <v>軽減額</v>
      </c>
      <c r="Q19" s="12"/>
      <c r="R19" s="95"/>
      <c r="S19" s="49"/>
      <c r="T19" s="96" t="s">
        <v>31</v>
      </c>
      <c r="U19" s="87">
        <f>ROUNDDOWN(U18,-2)</f>
        <v>12000</v>
      </c>
      <c r="V19" s="88" t="s">
        <v>6</v>
      </c>
      <c r="W19" s="30" t="s">
        <v>43</v>
      </c>
      <c r="X19" s="29">
        <f t="shared" si="6"/>
        <v>1193</v>
      </c>
      <c r="Y19" s="30" t="s">
        <v>42</v>
      </c>
      <c r="Z19" s="31">
        <f>IF($AH$13&gt;0,0,IF($AG$2&gt;0,"限度超過",Z8-(Z29+Z39+Z49+Z59+Z69+Z79)))</f>
        <v>1192</v>
      </c>
      <c r="AA19" s="26"/>
      <c r="AB19" s="26"/>
      <c r="AC19" s="501"/>
      <c r="AD19" s="26"/>
      <c r="AE19" s="500" t="str">
        <f>IF($AH$13&gt;0,"－",IF($AG$2&gt;0,"限度超過",IF(U20=Z20,"OK","ｱﾝﾏｯﾁ")))</f>
        <v>OK</v>
      </c>
      <c r="AF19" s="499"/>
      <c r="AG19" s="26"/>
      <c r="AI19" s="173"/>
      <c r="AJ19" s="28" t="s">
        <v>43</v>
      </c>
      <c r="AK19" s="29">
        <f t="shared" si="7"/>
        <v>1193</v>
      </c>
      <c r="AL19" s="478" t="s">
        <v>42</v>
      </c>
      <c r="AM19" s="479">
        <f t="shared" si="7"/>
        <v>1192</v>
      </c>
      <c r="AN19" s="173"/>
      <c r="AO19" s="328" t="s">
        <v>43</v>
      </c>
      <c r="AP19" s="326">
        <f>ROUNDDOWN(AR20/10,-2)</f>
        <v>1600</v>
      </c>
      <c r="AQ19" s="327" t="s">
        <v>42</v>
      </c>
      <c r="AR19" s="358">
        <f>ROUNDDOWN(AR20/10,-2)</f>
        <v>1600</v>
      </c>
      <c r="AS19" s="173"/>
      <c r="AT19" s="316" t="s">
        <v>43</v>
      </c>
      <c r="AU19" s="377">
        <f t="shared" si="8"/>
        <v>1193</v>
      </c>
      <c r="AV19" s="314" t="s">
        <v>42</v>
      </c>
      <c r="AW19" s="378">
        <f t="shared" si="8"/>
        <v>1192</v>
      </c>
      <c r="AX19" s="379"/>
      <c r="AY19" s="409" t="s">
        <v>43</v>
      </c>
      <c r="AZ19" s="313">
        <f t="shared" si="9"/>
        <v>1193</v>
      </c>
      <c r="BA19" s="314" t="s">
        <v>42</v>
      </c>
      <c r="BB19" s="408">
        <f t="shared" si="9"/>
        <v>1192</v>
      </c>
      <c r="BC19" s="379"/>
      <c r="BD19" s="451" t="s">
        <v>43</v>
      </c>
      <c r="BE19" s="81">
        <f t="shared" si="3"/>
        <v>0</v>
      </c>
      <c r="BF19" s="30" t="s">
        <v>42</v>
      </c>
      <c r="BG19" s="29">
        <f>IF($A$87=$L$87,"限度超過",Z8-(BB19+BB29+BB39+BB49+BB59+BB69+BB79))</f>
        <v>0</v>
      </c>
      <c r="BH19" s="12"/>
      <c r="BI19" s="30" t="s">
        <v>43</v>
      </c>
      <c r="BJ19" s="29">
        <f t="shared" si="4"/>
        <v>0</v>
      </c>
      <c r="BK19" s="30" t="s">
        <v>42</v>
      </c>
      <c r="BL19" s="29">
        <f>IF($A$87=$L$87,"限度超過",IF(BG19=0,0,BG19/$S$5))</f>
        <v>0</v>
      </c>
      <c r="BM19" s="12"/>
      <c r="BN19" s="30" t="s">
        <v>43</v>
      </c>
      <c r="BO19" s="29">
        <f t="shared" si="5"/>
        <v>0</v>
      </c>
      <c r="BP19" s="30" t="s">
        <v>42</v>
      </c>
      <c r="BQ19" s="460">
        <f>IF($A$87=$L$87,"限度超過",IF($S$5&lt;=1,BG19,BG19-(BQ29+BQ39+BQ49+BQ59+BQ69+BQ79)))</f>
        <v>0</v>
      </c>
      <c r="BR19" s="12"/>
      <c r="BS19" s="12"/>
      <c r="BT19" s="12"/>
      <c r="BU19" s="83"/>
      <c r="BV19" s="83"/>
      <c r="BW19" s="12"/>
      <c r="BX19" s="32" t="s">
        <v>25</v>
      </c>
      <c r="BY19" s="45">
        <f>K21</f>
        <v>12</v>
      </c>
      <c r="BZ19" s="45">
        <f t="shared" si="11"/>
        <v>12</v>
      </c>
      <c r="CA19" s="45">
        <f t="shared" si="11"/>
        <v>12</v>
      </c>
      <c r="CB19" s="45">
        <f t="shared" si="11"/>
        <v>12</v>
      </c>
      <c r="CC19" s="713">
        <f>CB19</f>
        <v>12</v>
      </c>
      <c r="CD19" s="4"/>
      <c r="CE19" s="90"/>
      <c r="CF19" s="26"/>
      <c r="CG19" s="26"/>
      <c r="CH19" s="26"/>
      <c r="CI19" s="13"/>
      <c r="CK19" s="280"/>
      <c r="CL19" s="283" t="s">
        <v>190</v>
      </c>
      <c r="CM19" s="288">
        <f t="shared" si="10"/>
        <v>1600</v>
      </c>
      <c r="CN19" s="280"/>
      <c r="CP19" s="294"/>
      <c r="CQ19" s="294"/>
      <c r="CR19" s="311"/>
    </row>
    <row r="20" spans="1:96" ht="18" customHeight="1">
      <c r="A20" s="1421" t="s">
        <v>10</v>
      </c>
      <c r="B20" s="12"/>
      <c r="C20" s="12"/>
      <c r="D20" s="1419" t="s">
        <v>7</v>
      </c>
      <c r="E20" s="1416">
        <f>IF(H20&gt;0,$CE$8,0)</f>
        <v>26060</v>
      </c>
      <c r="F20" s="97"/>
      <c r="G20" s="855" t="s">
        <v>59</v>
      </c>
      <c r="H20" s="1413">
        <f>IF(B15=0,0,SUBTOTAL(3,B15))</f>
        <v>1</v>
      </c>
      <c r="I20" s="1277" t="s">
        <v>22</v>
      </c>
      <c r="J20" s="855" t="s">
        <v>59</v>
      </c>
      <c r="K20" s="51">
        <f>IF(H20&gt;0,K17,0)</f>
        <v>12</v>
      </c>
      <c r="L20" s="52" t="s">
        <v>5</v>
      </c>
      <c r="M20" s="1407" t="s">
        <v>122</v>
      </c>
      <c r="N20" s="1402" t="str">
        <f>IF(O20=0,0,"―")</f>
        <v>―</v>
      </c>
      <c r="O20" s="1404">
        <f>IF(H20=0,0,IF(BY22=0,IF($D$5=7,BZ21,IF($D$5=5,CA21,IF($D$5=2,CB21,CC21))),IF($D$5=7,BZ21+BZ22,IF($D$5=5,CA21+CA22,IF($D$5=2,CB21+CB22,CC21+CC22)))))</f>
        <v>22160</v>
      </c>
      <c r="P20" s="1405"/>
      <c r="Q20" s="1377" t="s">
        <v>130</v>
      </c>
      <c r="R20" s="1403">
        <f>IF(H20&gt;0,IF(K17=0,0,ROUNDDOWN(((E20*H20)*K20/K21)-O20,0)),0)</f>
        <v>3900</v>
      </c>
      <c r="S20" s="1381" t="s">
        <v>6</v>
      </c>
      <c r="T20" s="1388" t="s">
        <v>32</v>
      </c>
      <c r="U20" s="1390">
        <f>IF(L87=A87,"限度超過!",L87-U30-U40-U50-U60-U70-U80)</f>
        <v>12000</v>
      </c>
      <c r="V20" s="1389" t="s">
        <v>6</v>
      </c>
      <c r="W20" s="30" t="s">
        <v>37</v>
      </c>
      <c r="X20" s="29">
        <f t="shared" si="6"/>
        <v>1193</v>
      </c>
      <c r="Y20" s="1199" t="s">
        <v>44</v>
      </c>
      <c r="Z20" s="1394">
        <f>IF($AH$13&gt;0,0,IF($AG$2&gt;0,"限度超過",Z9-(Z30+Z40+Z50+Z60+Z70+Z80)))</f>
        <v>12000</v>
      </c>
      <c r="AA20" s="26"/>
      <c r="AB20" s="26"/>
      <c r="AC20" s="501"/>
      <c r="AD20" s="26"/>
      <c r="AE20" s="500" t="str">
        <f>IF($AG$2&gt;0,"限度超過",IF(X16+X17+X18+X19+X20+X21+Z16+Z17+Z18+Z19=Z20,"OK","エラー"))</f>
        <v>OK</v>
      </c>
      <c r="AF20" s="1361">
        <f>IF(H20&gt;0,IF(K17=0,0,ROUNDDOWN((E20*H20)-O20,0)),0)</f>
        <v>3900</v>
      </c>
      <c r="AG20" s="26"/>
      <c r="AI20" s="173"/>
      <c r="AJ20" s="28" t="s">
        <v>37</v>
      </c>
      <c r="AK20" s="29">
        <f t="shared" si="7"/>
        <v>1193</v>
      </c>
      <c r="AL20" s="1440" t="s">
        <v>44</v>
      </c>
      <c r="AM20" s="1442">
        <f>AK16+AK17+AK18+AK19+AK20+AK21+AM16+AM17+AM18+AM19</f>
        <v>12000</v>
      </c>
      <c r="AN20" s="173"/>
      <c r="AO20" s="328" t="s">
        <v>37</v>
      </c>
      <c r="AP20" s="326">
        <f>ROUNDDOWN(AR20/10,-2)</f>
        <v>1600</v>
      </c>
      <c r="AQ20" s="329" t="s">
        <v>44</v>
      </c>
      <c r="AR20" s="330">
        <f>IF($AG$2&gt;0,0,IF($AH$13&gt;0,0,U20+U109+U198))</f>
        <v>16100</v>
      </c>
      <c r="AS20" s="173"/>
      <c r="AT20" s="316" t="s">
        <v>37</v>
      </c>
      <c r="AU20" s="377">
        <f t="shared" si="8"/>
        <v>1193</v>
      </c>
      <c r="AV20" s="317" t="s">
        <v>44</v>
      </c>
      <c r="AW20" s="315">
        <f>IF($AG$2&gt;0,"限度超過",AU16+AU17+AU18+AU19+AU20+AU21+AW16+AW17+AW18+AW19)</f>
        <v>12000</v>
      </c>
      <c r="AX20" s="379"/>
      <c r="AY20" s="409" t="s">
        <v>37</v>
      </c>
      <c r="AZ20" s="313">
        <f t="shared" si="9"/>
        <v>1193</v>
      </c>
      <c r="BA20" s="317" t="s">
        <v>44</v>
      </c>
      <c r="BB20" s="408">
        <f t="shared" si="9"/>
        <v>12000</v>
      </c>
      <c r="BC20" s="379"/>
      <c r="BD20" s="451" t="s">
        <v>37</v>
      </c>
      <c r="BE20" s="81">
        <f t="shared" si="3"/>
        <v>0</v>
      </c>
      <c r="BF20" s="98" t="s">
        <v>44</v>
      </c>
      <c r="BG20" s="29">
        <f>IF($A$87=$L$87,"限度超過",BE16+BE17+BE18+BE19+BE20+BE21+BG16+BG17+BG18+BG19)</f>
        <v>0</v>
      </c>
      <c r="BH20" s="12"/>
      <c r="BI20" s="30" t="s">
        <v>37</v>
      </c>
      <c r="BJ20" s="29">
        <f t="shared" si="4"/>
        <v>0</v>
      </c>
      <c r="BK20" s="98" t="s">
        <v>44</v>
      </c>
      <c r="BL20" s="29">
        <f>IF($A$87=$L$87,"限度超過",BJ16+BJ17+BJ18+BJ19+BJ20+BJ21+BL16+BL17+BL18+BL19)</f>
        <v>0</v>
      </c>
      <c r="BM20" s="12"/>
      <c r="BN20" s="30" t="s">
        <v>37</v>
      </c>
      <c r="BO20" s="29">
        <f t="shared" si="5"/>
        <v>0</v>
      </c>
      <c r="BP20" s="98" t="s">
        <v>44</v>
      </c>
      <c r="BQ20" s="460">
        <f>IF($A$87=$L$87,"限度超過",BO16+BO17+BO18+BO19+BO20+BO21+BQ16+BQ17+BQ18+BQ19)</f>
        <v>0</v>
      </c>
      <c r="BR20" s="12"/>
      <c r="BS20" s="12"/>
      <c r="BT20" s="12"/>
      <c r="BU20" s="83"/>
      <c r="BV20" s="83"/>
      <c r="BW20" s="12"/>
      <c r="BX20" s="32" t="s">
        <v>26</v>
      </c>
      <c r="BY20" s="26">
        <f>H20</f>
        <v>1</v>
      </c>
      <c r="BZ20" s="99">
        <f t="shared" si="11"/>
        <v>1</v>
      </c>
      <c r="CA20" s="99">
        <f t="shared" si="11"/>
        <v>1</v>
      </c>
      <c r="CB20" s="99">
        <f t="shared" si="11"/>
        <v>1</v>
      </c>
      <c r="CC20" s="713">
        <f>CB20</f>
        <v>1</v>
      </c>
      <c r="CD20" s="4"/>
      <c r="CE20" s="90"/>
      <c r="CF20" s="4"/>
      <c r="CG20" s="4"/>
      <c r="CH20" s="4"/>
      <c r="CI20" s="13"/>
      <c r="CK20" s="280"/>
      <c r="CL20" s="283" t="s">
        <v>191</v>
      </c>
      <c r="CM20" s="288">
        <f t="shared" si="10"/>
        <v>1600</v>
      </c>
      <c r="CN20" s="280"/>
      <c r="CP20" s="294"/>
      <c r="CQ20" s="294"/>
      <c r="CR20" s="311"/>
    </row>
    <row r="21" spans="1:96" ht="18" customHeight="1">
      <c r="A21" s="1421"/>
      <c r="B21" s="12"/>
      <c r="C21" s="12"/>
      <c r="D21" s="1419"/>
      <c r="E21" s="1416"/>
      <c r="F21" s="12"/>
      <c r="G21" s="855"/>
      <c r="H21" s="1413"/>
      <c r="I21" s="1277"/>
      <c r="J21" s="855"/>
      <c r="K21" s="180">
        <f>IF(H20&gt;0,K18,0)</f>
        <v>12</v>
      </c>
      <c r="L21" s="12" t="s">
        <v>5</v>
      </c>
      <c r="M21" s="1407"/>
      <c r="N21" s="1402"/>
      <c r="O21" s="1405"/>
      <c r="P21" s="1405"/>
      <c r="Q21" s="1377"/>
      <c r="R21" s="1403"/>
      <c r="S21" s="1381"/>
      <c r="T21" s="1388"/>
      <c r="U21" s="1391"/>
      <c r="V21" s="1389"/>
      <c r="W21" s="30" t="s">
        <v>38</v>
      </c>
      <c r="X21" s="29">
        <f t="shared" si="6"/>
        <v>1193</v>
      </c>
      <c r="Y21" s="1368"/>
      <c r="Z21" s="1395"/>
      <c r="AA21" s="4"/>
      <c r="AB21" s="4"/>
      <c r="AC21" s="501"/>
      <c r="AD21" s="4"/>
      <c r="AE21" s="74"/>
      <c r="AF21" s="1360"/>
      <c r="AG21" s="4"/>
      <c r="AH21" s="4"/>
      <c r="AI21" s="174"/>
      <c r="AJ21" s="65" t="s">
        <v>38</v>
      </c>
      <c r="AK21" s="66">
        <f t="shared" si="7"/>
        <v>1193</v>
      </c>
      <c r="AL21" s="1441"/>
      <c r="AM21" s="1443"/>
      <c r="AN21" s="173"/>
      <c r="AO21" s="328" t="s">
        <v>38</v>
      </c>
      <c r="AP21" s="326">
        <f>ROUNDDOWN(AR20/10,-2)</f>
        <v>1600</v>
      </c>
      <c r="AQ21" s="327"/>
      <c r="AR21" s="331"/>
      <c r="AS21" s="174"/>
      <c r="AT21" s="316" t="s">
        <v>38</v>
      </c>
      <c r="AU21" s="377">
        <f t="shared" si="8"/>
        <v>1193</v>
      </c>
      <c r="AV21" s="314" t="s">
        <v>75</v>
      </c>
      <c r="AW21" s="332">
        <f>IF($AG$2&gt;0,"限度超過",U20)</f>
        <v>12000</v>
      </c>
      <c r="AX21" s="379"/>
      <c r="AY21" s="409" t="s">
        <v>38</v>
      </c>
      <c r="AZ21" s="313">
        <f t="shared" si="9"/>
        <v>1193</v>
      </c>
      <c r="BA21" s="314"/>
      <c r="BB21" s="410"/>
      <c r="BC21" s="379"/>
      <c r="BD21" s="451" t="s">
        <v>38</v>
      </c>
      <c r="BE21" s="81">
        <f t="shared" si="3"/>
        <v>0</v>
      </c>
      <c r="BF21" s="30"/>
      <c r="BG21" s="100"/>
      <c r="BH21" s="12"/>
      <c r="BI21" s="30" t="s">
        <v>38</v>
      </c>
      <c r="BJ21" s="29">
        <f t="shared" si="4"/>
        <v>0</v>
      </c>
      <c r="BK21" s="30"/>
      <c r="BL21" s="100"/>
      <c r="BM21" s="12"/>
      <c r="BN21" s="30" t="s">
        <v>38</v>
      </c>
      <c r="BO21" s="29">
        <f t="shared" si="5"/>
        <v>0</v>
      </c>
      <c r="BP21" s="30"/>
      <c r="BQ21" s="461"/>
      <c r="BR21" s="12"/>
      <c r="BS21" s="12"/>
      <c r="BT21" s="12"/>
      <c r="BU21" s="4"/>
      <c r="BV21" s="4"/>
      <c r="BW21" s="12"/>
      <c r="BX21" s="67" t="s">
        <v>27</v>
      </c>
      <c r="BY21" s="45">
        <f>IF(BY20&gt;0,ROUNDDOWN(BY17*BY20*BY18/BY19,0),0)</f>
        <v>0</v>
      </c>
      <c r="BZ21" s="45">
        <f>IF(BZ20&gt;0,ROUNDDOWN(BZ17*BZ20*BZ18/BZ19,0),0)</f>
        <v>18250</v>
      </c>
      <c r="CA21" s="45">
        <f>IF(CA20&gt;0,ROUNDDOWN(CA17*CA20*CA18/CA19,0),0)</f>
        <v>13030</v>
      </c>
      <c r="CB21" s="45">
        <f>IF(CB20&gt;0,ROUNDDOWN(CB17*CB20*CB18/CB19,0),0)</f>
        <v>5220</v>
      </c>
      <c r="CC21" s="713">
        <v>0</v>
      </c>
      <c r="CD21" s="74"/>
      <c r="CE21" s="90"/>
      <c r="CF21" s="4"/>
      <c r="CG21" s="4"/>
      <c r="CH21" s="4"/>
      <c r="CI21" s="13"/>
      <c r="CK21" s="280"/>
      <c r="CL21" s="283" t="s">
        <v>192</v>
      </c>
      <c r="CM21" s="288">
        <f t="shared" si="10"/>
        <v>1600</v>
      </c>
      <c r="CN21" s="280"/>
      <c r="CP21" s="294"/>
      <c r="CQ21" s="294"/>
      <c r="CR21" s="311"/>
    </row>
    <row r="22" spans="1:96" ht="18" customHeight="1">
      <c r="A22" s="202"/>
      <c r="B22" s="75" t="s">
        <v>118</v>
      </c>
      <c r="C22" s="12"/>
      <c r="D22" s="160"/>
      <c r="E22" s="161"/>
      <c r="F22" s="12"/>
      <c r="G22" s="50"/>
      <c r="H22" s="162"/>
      <c r="I22" s="159"/>
      <c r="J22" s="50"/>
      <c r="K22" s="1406" t="s">
        <v>274</v>
      </c>
      <c r="L22" s="1406"/>
      <c r="M22" s="1406"/>
      <c r="N22" s="1406"/>
      <c r="O22" s="1406"/>
      <c r="P22" s="1406"/>
      <c r="Q22" s="156"/>
      <c r="R22" s="157"/>
      <c r="S22" s="49"/>
      <c r="T22" s="50"/>
      <c r="U22" s="1454" t="s">
        <v>275</v>
      </c>
      <c r="V22" s="1454"/>
      <c r="W22" s="1454"/>
      <c r="X22" s="1454"/>
      <c r="Y22" s="1454"/>
      <c r="Z22" s="187"/>
      <c r="AB22" s="4"/>
      <c r="AC22" s="492"/>
      <c r="AD22" s="4"/>
      <c r="AE22" s="74"/>
      <c r="AF22" s="236"/>
      <c r="AG22" s="234"/>
      <c r="AH22" s="4"/>
      <c r="AI22" s="174"/>
      <c r="AJ22" s="22" t="s">
        <v>34</v>
      </c>
      <c r="AK22" s="480" t="str">
        <f>IF(X5=AK16,"OK","エラー")</f>
        <v>OK</v>
      </c>
      <c r="AL22" s="24" t="s">
        <v>39</v>
      </c>
      <c r="AM22" s="481" t="str">
        <f>IF(Z5=AM16,"OK","エラー")</f>
        <v>OK</v>
      </c>
      <c r="AN22" s="173"/>
      <c r="AO22" s="486"/>
      <c r="AP22" s="486"/>
      <c r="AQ22" s="487"/>
      <c r="AR22" s="487"/>
      <c r="AS22" s="174"/>
      <c r="AT22" s="381"/>
      <c r="AU22" s="471">
        <f>IF($AG$2&gt;0,"限度超過",0)</f>
        <v>0</v>
      </c>
      <c r="AV22" s="380"/>
      <c r="AW22" s="382" t="str">
        <f>IF(AW20=AW21,"OK","エラー")</f>
        <v>OK</v>
      </c>
      <c r="AX22" s="379"/>
      <c r="AY22" s="411"/>
      <c r="AZ22" s="318">
        <f t="shared" si="9"/>
        <v>0</v>
      </c>
      <c r="BA22" s="319"/>
      <c r="BB22" s="412"/>
      <c r="BC22" s="379"/>
      <c r="BD22" s="452"/>
      <c r="BF22" s="4" t="s">
        <v>260</v>
      </c>
      <c r="BH22" s="12"/>
      <c r="BM22" s="12"/>
      <c r="BQ22" s="462"/>
      <c r="BR22" s="12"/>
      <c r="BS22" s="12"/>
      <c r="BT22" s="12"/>
      <c r="BU22" s="12"/>
      <c r="BV22" s="12"/>
      <c r="BW22" s="12"/>
      <c r="BX22" s="32" t="s">
        <v>468</v>
      </c>
      <c r="BY22" s="713">
        <f>IF(入力画面!E12=1,1,0)</f>
        <v>1</v>
      </c>
      <c r="BZ22" s="713">
        <f>IF($BY$22=1,ROUNDDOWN(CF12*BZ18/BZ19,0),0)</f>
        <v>3910</v>
      </c>
      <c r="CA22" s="713">
        <f>IF($BY$22=1,ROUNDDOWN(CG12*CA18/CA19,0),0)</f>
        <v>6520</v>
      </c>
      <c r="CB22" s="713">
        <f>IF($BY$22=1,ROUNDDOWN(CH12*CB18/CB19,0),0)</f>
        <v>10420</v>
      </c>
      <c r="CC22" s="713">
        <f>IF($BY$22=1,ROUNDDOWN(CE12*CC18/CC19,0),0)</f>
        <v>13030</v>
      </c>
      <c r="CD22" s="4"/>
      <c r="CE22" s="4"/>
      <c r="CF22" s="4"/>
      <c r="CG22" s="4"/>
      <c r="CH22" s="4"/>
      <c r="CI22" s="13"/>
      <c r="CK22" s="280"/>
      <c r="CL22" s="283" t="s">
        <v>193</v>
      </c>
      <c r="CM22" s="288">
        <f t="shared" si="10"/>
        <v>1600</v>
      </c>
      <c r="CN22" s="280"/>
      <c r="CP22" s="294"/>
      <c r="CQ22" s="294"/>
      <c r="CR22" s="311"/>
    </row>
    <row r="23" spans="1:96" ht="18" customHeight="1">
      <c r="A23" s="58" t="s">
        <v>1</v>
      </c>
      <c r="B23" s="52"/>
      <c r="C23" s="189">
        <f>IF(H20&gt;0,$X$13,0)</f>
        <v>682</v>
      </c>
      <c r="D23" s="203" t="s">
        <v>6</v>
      </c>
      <c r="E23" s="60" t="s">
        <v>131</v>
      </c>
      <c r="F23" s="1204">
        <f>K17</f>
        <v>12</v>
      </c>
      <c r="G23" s="1204"/>
      <c r="H23" s="216" t="s">
        <v>5</v>
      </c>
      <c r="I23" s="1451" t="s">
        <v>273</v>
      </c>
      <c r="J23" s="1451"/>
      <c r="K23" s="1204">
        <f>T10-(K33+K43+K53+K63+K73+K83)</f>
        <v>8180</v>
      </c>
      <c r="L23" s="1204"/>
      <c r="M23" s="204" t="s">
        <v>6</v>
      </c>
      <c r="N23" s="204"/>
      <c r="O23" s="205"/>
      <c r="P23" s="205"/>
      <c r="Q23" s="63"/>
      <c r="R23" s="206"/>
      <c r="S23" s="59"/>
      <c r="T23" s="27"/>
      <c r="U23" s="207"/>
      <c r="V23" s="27"/>
      <c r="W23" s="188"/>
      <c r="X23" s="189"/>
      <c r="Y23" s="208"/>
      <c r="Z23" s="163"/>
      <c r="AA23" s="73"/>
      <c r="AB23" s="73"/>
      <c r="AC23" s="225"/>
      <c r="AD23" s="73"/>
      <c r="AE23" s="73"/>
      <c r="AF23" s="237"/>
      <c r="AG23" s="235"/>
      <c r="AH23" s="191"/>
      <c r="AI23" s="175"/>
      <c r="AJ23" s="28" t="s">
        <v>35</v>
      </c>
      <c r="AK23" s="482" t="str">
        <f t="shared" ref="AK23:AM27" si="12">IF(X6=AK17,"OK","エラー")</f>
        <v>OK</v>
      </c>
      <c r="AL23" s="30" t="s">
        <v>40</v>
      </c>
      <c r="AM23" s="483" t="str">
        <f t="shared" si="12"/>
        <v>OK</v>
      </c>
      <c r="AN23" s="174"/>
      <c r="AO23" s="1322" t="s">
        <v>251</v>
      </c>
      <c r="AP23" s="1322"/>
      <c r="AQ23" s="487"/>
      <c r="AR23" s="487"/>
      <c r="AS23" s="175"/>
      <c r="AT23" s="1306" t="s">
        <v>244</v>
      </c>
      <c r="AU23" s="1306"/>
      <c r="AV23" s="383"/>
      <c r="AW23" s="383"/>
      <c r="AX23" s="379"/>
      <c r="AY23" s="1307" t="s">
        <v>244</v>
      </c>
      <c r="AZ23" s="1306"/>
      <c r="BA23" s="319"/>
      <c r="BB23" s="412"/>
      <c r="BC23" s="379"/>
      <c r="BD23" s="452"/>
      <c r="BF23" s="4" t="s">
        <v>261</v>
      </c>
      <c r="BH23" s="12"/>
      <c r="BM23" s="12"/>
      <c r="BQ23" s="462"/>
      <c r="BR23" s="12"/>
      <c r="BS23" s="12"/>
      <c r="BT23" s="12"/>
      <c r="BU23" s="12"/>
      <c r="BV23" s="12"/>
      <c r="BW23" s="12"/>
      <c r="BX23" s="4"/>
      <c r="BY23" s="4"/>
      <c r="BZ23" s="4"/>
      <c r="CA23" s="4"/>
      <c r="CB23" s="4"/>
      <c r="CC23" s="4"/>
      <c r="CD23" s="4"/>
      <c r="CE23" s="4"/>
      <c r="CF23" s="4"/>
      <c r="CG23" s="4"/>
      <c r="CH23" s="4"/>
      <c r="CI23" s="13"/>
      <c r="CK23" s="280"/>
      <c r="CL23" s="283" t="s">
        <v>194</v>
      </c>
      <c r="CM23" s="288">
        <f t="shared" si="10"/>
        <v>1600</v>
      </c>
      <c r="CN23" s="280"/>
      <c r="CP23" s="294"/>
      <c r="CQ23" s="294"/>
      <c r="CR23" s="311"/>
    </row>
    <row r="24" spans="1:96" ht="18" customHeight="1">
      <c r="D24" s="101"/>
      <c r="E24" s="70"/>
      <c r="G24" s="9"/>
      <c r="H24" s="102"/>
      <c r="I24" s="5"/>
      <c r="J24" s="9"/>
      <c r="K24" s="18"/>
      <c r="M24" s="103"/>
      <c r="P24" s="103"/>
      <c r="Q24" s="70"/>
      <c r="R24" s="104"/>
      <c r="S24" s="68"/>
      <c r="T24" s="68"/>
      <c r="U24" s="68"/>
      <c r="AA24" s="26"/>
      <c r="AB24" s="26"/>
      <c r="AC24" s="494"/>
      <c r="AD24" s="26"/>
      <c r="AE24" s="489"/>
      <c r="AF24" s="233"/>
      <c r="AG24" s="26"/>
      <c r="AH24" s="26"/>
      <c r="AI24" s="173"/>
      <c r="AJ24" s="28" t="s">
        <v>36</v>
      </c>
      <c r="AK24" s="482" t="str">
        <f t="shared" si="12"/>
        <v>OK</v>
      </c>
      <c r="AL24" s="30" t="s">
        <v>41</v>
      </c>
      <c r="AM24" s="483" t="str">
        <f t="shared" si="12"/>
        <v>OK</v>
      </c>
      <c r="AN24" s="174"/>
      <c r="AO24" s="324" t="s">
        <v>52</v>
      </c>
      <c r="AP24" s="346" t="s">
        <v>214</v>
      </c>
      <c r="AQ24" s="1323" t="s">
        <v>213</v>
      </c>
      <c r="AR24" s="1323"/>
      <c r="AS24" s="179"/>
      <c r="AT24" s="1310" t="s">
        <v>242</v>
      </c>
      <c r="AU24" s="1310"/>
      <c r="AV24" s="1310"/>
      <c r="AW24" s="1310"/>
      <c r="AX24" s="379"/>
      <c r="AY24" s="406" t="s">
        <v>257</v>
      </c>
      <c r="AZ24" s="1308" t="s">
        <v>258</v>
      </c>
      <c r="BA24" s="1308"/>
      <c r="BB24" s="1309"/>
      <c r="BC24" s="379"/>
      <c r="BD24" s="1267" t="s">
        <v>259</v>
      </c>
      <c r="BE24" s="1268"/>
      <c r="BF24" s="1268"/>
      <c r="BG24" s="1268"/>
      <c r="BH24" s="12"/>
      <c r="BI24" s="440" t="s">
        <v>262</v>
      </c>
      <c r="BJ24" s="1269" t="s">
        <v>263</v>
      </c>
      <c r="BK24" s="1269"/>
      <c r="BL24" s="1269"/>
      <c r="BM24" s="12"/>
      <c r="BO24" s="143" t="s">
        <v>126</v>
      </c>
      <c r="BP24" s="12" t="s">
        <v>88</v>
      </c>
      <c r="BQ24" s="449"/>
      <c r="BR24" s="12"/>
      <c r="BS24" s="12"/>
      <c r="BT24" s="12"/>
      <c r="BU24" s="12"/>
      <c r="BV24" s="12"/>
      <c r="BW24" s="12"/>
      <c r="BX24" s="4"/>
      <c r="BY24" s="4"/>
      <c r="BZ24" s="4"/>
      <c r="CA24" s="4"/>
      <c r="CB24" s="4"/>
      <c r="CC24" s="4"/>
      <c r="CD24" s="4"/>
      <c r="CE24" s="4"/>
      <c r="CF24" s="4"/>
      <c r="CG24" s="4"/>
      <c r="CH24" s="4"/>
      <c r="CI24" s="13"/>
      <c r="CK24" s="280"/>
      <c r="CL24" s="283" t="s">
        <v>195</v>
      </c>
      <c r="CM24" s="288">
        <f t="shared" si="10"/>
        <v>1600</v>
      </c>
      <c r="CN24" s="280"/>
      <c r="CP24" s="294"/>
      <c r="CQ24" s="294"/>
      <c r="CR24" s="311"/>
    </row>
    <row r="25" spans="1:96" ht="18" customHeight="1">
      <c r="A25" s="196" t="s">
        <v>52</v>
      </c>
      <c r="B25" s="1382">
        <f>入力画面!C17</f>
        <v>0</v>
      </c>
      <c r="C25" s="1382"/>
      <c r="D25" s="1382"/>
      <c r="E25" s="198" t="s">
        <v>11</v>
      </c>
      <c r="F25" s="1412" t="s">
        <v>57</v>
      </c>
      <c r="G25" s="1412"/>
      <c r="H25" s="1412"/>
      <c r="I25" s="1449">
        <f>IF(入力画面!I20&gt;0,1,0)</f>
        <v>0</v>
      </c>
      <c r="J25" s="1450"/>
      <c r="K25" s="1373">
        <f>IF(H30=0,0,IF($K$8=0, "加入月が未入力です!！",IF($L$87=$A$87,"限度超過額に達しているため計算不可能!!",IF(U27-U26=U28,"エラー名前を入力されているが加入月未入力!！",IF(H30&gt;K27,"加入月未入力エラー!！",0)))))</f>
        <v>0</v>
      </c>
      <c r="L25" s="1374"/>
      <c r="M25" s="1374"/>
      <c r="N25" s="1374"/>
      <c r="O25" s="1374"/>
      <c r="P25" s="1374"/>
      <c r="Q25" s="1374"/>
      <c r="R25" s="1374"/>
      <c r="S25" s="1375"/>
      <c r="T25" s="197" t="s">
        <v>47</v>
      </c>
      <c r="U25" s="1383">
        <f>IF(U30&gt;0,"医療分",0)</f>
        <v>0</v>
      </c>
      <c r="V25" s="1384"/>
      <c r="W25" s="1385" t="s">
        <v>46</v>
      </c>
      <c r="X25" s="1164"/>
      <c r="Y25" s="1164"/>
      <c r="Z25" s="1165"/>
      <c r="AA25" s="26"/>
      <c r="AB25" s="26"/>
      <c r="AC25" s="494"/>
      <c r="AD25" s="26"/>
      <c r="AE25" s="489"/>
      <c r="AF25" s="238" t="s">
        <v>117</v>
      </c>
      <c r="AG25" s="26"/>
      <c r="AH25" s="276">
        <f>IF(K27=0,0,IF(K27&lt;12,1,0))</f>
        <v>0</v>
      </c>
      <c r="AI25" s="73"/>
      <c r="AJ25" s="28" t="s">
        <v>43</v>
      </c>
      <c r="AK25" s="482" t="str">
        <f t="shared" si="12"/>
        <v>OK</v>
      </c>
      <c r="AL25" s="30" t="s">
        <v>42</v>
      </c>
      <c r="AM25" s="483" t="str">
        <f>IF(Z8=AM19,"OK","エラー")</f>
        <v>OK</v>
      </c>
      <c r="AN25" s="369" t="s">
        <v>145</v>
      </c>
      <c r="AO25" s="1324" t="s">
        <v>46</v>
      </c>
      <c r="AP25" s="1325"/>
      <c r="AQ25" s="1399">
        <f>IF(R27+R30=0,0,IF(K28&gt;K27,"期割がアンマッチ使用禁止↓",0))</f>
        <v>0</v>
      </c>
      <c r="AR25" s="1400"/>
      <c r="AS25" s="179"/>
      <c r="AT25" s="1311" t="s">
        <v>46</v>
      </c>
      <c r="AU25" s="1312"/>
      <c r="AV25" s="1313"/>
      <c r="AW25" s="1314"/>
      <c r="AX25" s="379"/>
      <c r="AY25" s="1319" t="s">
        <v>46</v>
      </c>
      <c r="AZ25" s="1312"/>
      <c r="BA25" s="1313">
        <f>IF($R$17+$R30=0,0,IF($K$18&gt;$K$17,"期割がアンマッチ使用禁止↓",0))</f>
        <v>0</v>
      </c>
      <c r="BB25" s="1346"/>
      <c r="BC25" s="379"/>
      <c r="BD25" s="1272" t="s">
        <v>46</v>
      </c>
      <c r="BE25" s="1273"/>
      <c r="BF25" s="1304" t="s">
        <v>87</v>
      </c>
      <c r="BG25" s="1305"/>
      <c r="BH25" s="12"/>
      <c r="BI25" s="1139" t="s">
        <v>46</v>
      </c>
      <c r="BJ25" s="1273"/>
      <c r="BK25" s="1270"/>
      <c r="BL25" s="1271"/>
      <c r="BM25" s="12"/>
      <c r="BN25" s="1139" t="s">
        <v>46</v>
      </c>
      <c r="BO25" s="1273"/>
      <c r="BP25" s="1270"/>
      <c r="BQ25" s="1278"/>
      <c r="BR25" s="12"/>
      <c r="BS25" s="12"/>
      <c r="BT25" s="12"/>
      <c r="BU25" s="12"/>
      <c r="BV25" s="12"/>
      <c r="BW25" s="12"/>
      <c r="BX25" s="4"/>
      <c r="BY25" s="4"/>
      <c r="BZ25" s="4"/>
      <c r="CA25" s="4"/>
      <c r="CB25" s="4"/>
      <c r="CC25" s="4"/>
      <c r="CD25" s="4"/>
      <c r="CE25" s="4"/>
      <c r="CF25" s="4"/>
      <c r="CG25" s="4"/>
      <c r="CH25" s="4"/>
      <c r="CI25" s="13"/>
      <c r="CK25" s="281"/>
      <c r="CL25" s="279"/>
      <c r="CM25" s="299"/>
      <c r="CN25" s="281"/>
      <c r="CP25" s="294"/>
      <c r="CQ25" s="294"/>
      <c r="CR25" s="311"/>
    </row>
    <row r="26" spans="1:96" ht="18" customHeight="1">
      <c r="A26" s="165"/>
      <c r="B26" s="12"/>
      <c r="C26" s="75" t="s">
        <v>33</v>
      </c>
      <c r="D26" s="12"/>
      <c r="E26" s="12"/>
      <c r="F26" s="12"/>
      <c r="G26" s="12"/>
      <c r="H26" s="50"/>
      <c r="I26" s="93"/>
      <c r="J26" s="12"/>
      <c r="K26" s="76" t="s">
        <v>9</v>
      </c>
      <c r="L26" s="12"/>
      <c r="M26" s="1414"/>
      <c r="N26" s="1414"/>
      <c r="O26" s="1414"/>
      <c r="P26" s="1414"/>
      <c r="Q26" s="1414"/>
      <c r="R26" s="1414"/>
      <c r="S26" s="1415"/>
      <c r="T26" s="72" t="s">
        <v>30</v>
      </c>
      <c r="U26" s="105">
        <f>R27+R30</f>
        <v>0</v>
      </c>
      <c r="V26" s="88" t="s">
        <v>6</v>
      </c>
      <c r="W26" s="80" t="s">
        <v>34</v>
      </c>
      <c r="X26" s="29">
        <f>IF($AH$13&gt;0,0,AZ26)</f>
        <v>0</v>
      </c>
      <c r="Y26" s="80" t="s">
        <v>39</v>
      </c>
      <c r="Z26" s="31">
        <f>IF($AH$13&gt;0,0,BB26)</f>
        <v>0</v>
      </c>
      <c r="AA26" s="26"/>
      <c r="AB26" s="26"/>
      <c r="AC26" s="494"/>
      <c r="AD26" s="26"/>
      <c r="AE26" s="489"/>
      <c r="AF26" s="219">
        <f>AF27+AF30+AF33</f>
        <v>0</v>
      </c>
      <c r="AG26" s="26"/>
      <c r="AH26" s="26"/>
      <c r="AI26" s="173"/>
      <c r="AJ26" s="28" t="s">
        <v>37</v>
      </c>
      <c r="AK26" s="482" t="str">
        <f t="shared" si="12"/>
        <v>OK</v>
      </c>
      <c r="AL26" s="1139" t="s">
        <v>44</v>
      </c>
      <c r="AM26" s="1452" t="str">
        <f>IF(Z9=AM20,"OK","エラー")</f>
        <v>OK</v>
      </c>
      <c r="AN26" s="173"/>
      <c r="AO26" s="325" t="s">
        <v>34</v>
      </c>
      <c r="AP26" s="326">
        <f>AR30-(AP27+AP28+AP29+AP30+AP31+AR26+AR27+AR28+AR29)</f>
        <v>0</v>
      </c>
      <c r="AQ26" s="327" t="s">
        <v>39</v>
      </c>
      <c r="AR26" s="358">
        <f>ROUNDDOWN(AR30/10,-2)</f>
        <v>0</v>
      </c>
      <c r="AS26" s="173"/>
      <c r="AT26" s="316" t="s">
        <v>34</v>
      </c>
      <c r="AU26" s="377">
        <f t="shared" ref="AU26:AU31" si="13">IF($AG$2&gt;0,"限度超過",AP26-AZ115-AZ204)</f>
        <v>0</v>
      </c>
      <c r="AV26" s="314" t="s">
        <v>39</v>
      </c>
      <c r="AW26" s="378">
        <f>IF($AG$2&gt;0,"限度超過",AR26-BB115-BB204)</f>
        <v>0</v>
      </c>
      <c r="AX26" s="379"/>
      <c r="AY26" s="407" t="s">
        <v>34</v>
      </c>
      <c r="AZ26" s="313">
        <f t="shared" ref="AZ26:AZ31" si="14">AU26</f>
        <v>0</v>
      </c>
      <c r="BA26" s="314" t="s">
        <v>39</v>
      </c>
      <c r="BB26" s="408">
        <f>AW26</f>
        <v>0</v>
      </c>
      <c r="BC26" s="379"/>
      <c r="BD26" s="451" t="s">
        <v>34</v>
      </c>
      <c r="BE26" s="81">
        <f t="shared" ref="BE26:BE31" si="15">BE16</f>
        <v>0</v>
      </c>
      <c r="BF26" s="82" t="s">
        <v>39</v>
      </c>
      <c r="BG26" s="29">
        <f>BG16</f>
        <v>0</v>
      </c>
      <c r="BH26" s="12"/>
      <c r="BI26" s="80" t="s">
        <v>34</v>
      </c>
      <c r="BJ26" s="29">
        <f t="shared" ref="BJ26:BJ31" si="16">IF($A$87=$L$87,"限度超過",IF(BE26=0,0,BE26/$S$5))</f>
        <v>0</v>
      </c>
      <c r="BK26" s="80" t="s">
        <v>39</v>
      </c>
      <c r="BL26" s="29">
        <f>IF($A$87=$L$87,"限度超過",IF(BG26=0,0,BG26/$S$5))</f>
        <v>0</v>
      </c>
      <c r="BM26" s="12"/>
      <c r="BN26" s="30" t="s">
        <v>34</v>
      </c>
      <c r="BO26" s="29">
        <f t="shared" ref="BO26:BO31" si="17">IF($A$87=$L$87,"限度超過",IF($S$5&lt;=1,0,BJ26))</f>
        <v>0</v>
      </c>
      <c r="BP26" s="80" t="s">
        <v>39</v>
      </c>
      <c r="BQ26" s="460">
        <f>IF($A$87=$L$87,"限度超過",IF($S$5&lt;=1,0,BL26))</f>
        <v>0</v>
      </c>
      <c r="BR26" s="12"/>
      <c r="BS26" s="12"/>
      <c r="BT26" s="12"/>
      <c r="BU26" s="12"/>
      <c r="BV26" s="12"/>
      <c r="BW26" s="12"/>
      <c r="BX26" s="32"/>
      <c r="BY26" s="33" t="str">
        <f>BY16</f>
        <v>料率</v>
      </c>
      <c r="BZ26" s="33">
        <f>BZ16</f>
        <v>7</v>
      </c>
      <c r="CA26" s="33">
        <f>CA16</f>
        <v>5</v>
      </c>
      <c r="CB26" s="33">
        <f>CB16</f>
        <v>2</v>
      </c>
      <c r="CC26" s="713" t="s">
        <v>467</v>
      </c>
      <c r="CD26" s="4"/>
      <c r="CE26" s="4"/>
      <c r="CF26" s="4"/>
      <c r="CG26" s="4"/>
      <c r="CH26" s="4"/>
      <c r="CI26" s="13"/>
      <c r="CM26" s="301"/>
      <c r="CP26" s="294"/>
      <c r="CQ26" s="294"/>
      <c r="CR26" s="311"/>
    </row>
    <row r="27" spans="1:96" ht="18" customHeight="1">
      <c r="A27" s="1421" t="s">
        <v>0</v>
      </c>
      <c r="B27" s="1448" t="s">
        <v>129</v>
      </c>
      <c r="C27" s="1376">
        <f>入力画面!R19</f>
        <v>0</v>
      </c>
      <c r="D27" s="855" t="s">
        <v>58</v>
      </c>
      <c r="E27" s="1416">
        <f>IF(H30&gt;0,$CE$11, 0)</f>
        <v>0</v>
      </c>
      <c r="F27" s="1380" t="s">
        <v>22</v>
      </c>
      <c r="G27" s="855" t="s">
        <v>59</v>
      </c>
      <c r="H27" s="85">
        <f>IF(H30&gt;0,$CE$7,0)</f>
        <v>0</v>
      </c>
      <c r="I27" s="1277" t="s">
        <v>22</v>
      </c>
      <c r="J27" s="855" t="s">
        <v>59</v>
      </c>
      <c r="K27" s="51">
        <f>入力画面!I18</f>
        <v>0</v>
      </c>
      <c r="L27" s="52" t="s">
        <v>5</v>
      </c>
      <c r="M27" s="1380"/>
      <c r="N27" s="1407"/>
      <c r="O27" s="86"/>
      <c r="P27" s="1377" t="s">
        <v>130</v>
      </c>
      <c r="Q27" s="1377"/>
      <c r="R27" s="1403">
        <f>ROUNDDOWN(IF(((C27-E27)*H27/H28)*K27/K28&lt;0,0,((C27-E27)*H27/H28)*K27/K28),0)</f>
        <v>0</v>
      </c>
      <c r="S27" s="1408" t="s">
        <v>6</v>
      </c>
      <c r="T27" s="72" t="s">
        <v>1</v>
      </c>
      <c r="U27" s="105">
        <f>IF(H30=0,0,K33)</f>
        <v>0</v>
      </c>
      <c r="V27" s="88" t="s">
        <v>6</v>
      </c>
      <c r="W27" s="30" t="s">
        <v>35</v>
      </c>
      <c r="X27" s="29">
        <f t="shared" ref="X27:Z31" si="18">IF($AH$13&gt;0,0,AZ27)</f>
        <v>0</v>
      </c>
      <c r="Y27" s="30" t="s">
        <v>40</v>
      </c>
      <c r="Z27" s="31">
        <f t="shared" si="18"/>
        <v>0</v>
      </c>
      <c r="AA27" s="26"/>
      <c r="AB27" s="26"/>
      <c r="AC27" s="494"/>
      <c r="AD27" s="26"/>
      <c r="AE27" s="489"/>
      <c r="AF27" s="1360">
        <f>ROUNDDOWN(IF(((C27-E27)*H27/H28)&lt;0,0,((C27-E27)*H27/H28)),0)</f>
        <v>0</v>
      </c>
      <c r="AG27" s="26"/>
      <c r="AH27" s="26"/>
      <c r="AI27" s="173"/>
      <c r="AJ27" s="65" t="s">
        <v>38</v>
      </c>
      <c r="AK27" s="484" t="str">
        <f t="shared" si="12"/>
        <v>OK</v>
      </c>
      <c r="AL27" s="1140"/>
      <c r="AM27" s="1453"/>
      <c r="AN27" s="173"/>
      <c r="AO27" s="328" t="s">
        <v>35</v>
      </c>
      <c r="AP27" s="326">
        <f>ROUNDDOWN(AR30/10,-2)</f>
        <v>0</v>
      </c>
      <c r="AQ27" s="327" t="s">
        <v>40</v>
      </c>
      <c r="AR27" s="358">
        <f>ROUNDDOWN(AR30/10,-2)</f>
        <v>0</v>
      </c>
      <c r="AS27" s="173"/>
      <c r="AT27" s="316" t="s">
        <v>35</v>
      </c>
      <c r="AU27" s="377">
        <f t="shared" si="13"/>
        <v>0</v>
      </c>
      <c r="AV27" s="314" t="s">
        <v>40</v>
      </c>
      <c r="AW27" s="378">
        <f>IF($AG$2&gt;0,"限度超過",AR27-BB116-BB205)</f>
        <v>0</v>
      </c>
      <c r="AX27" s="379"/>
      <c r="AY27" s="409" t="s">
        <v>35</v>
      </c>
      <c r="AZ27" s="313">
        <f t="shared" si="14"/>
        <v>0</v>
      </c>
      <c r="BA27" s="314" t="s">
        <v>40</v>
      </c>
      <c r="BB27" s="408">
        <f>AW27</f>
        <v>0</v>
      </c>
      <c r="BC27" s="379"/>
      <c r="BD27" s="451" t="s">
        <v>35</v>
      </c>
      <c r="BE27" s="81">
        <f t="shared" si="15"/>
        <v>0</v>
      </c>
      <c r="BF27" s="82" t="s">
        <v>40</v>
      </c>
      <c r="BG27" s="29">
        <f>BG17</f>
        <v>0</v>
      </c>
      <c r="BH27" s="12"/>
      <c r="BI27" s="30" t="s">
        <v>35</v>
      </c>
      <c r="BJ27" s="29">
        <f t="shared" si="16"/>
        <v>0</v>
      </c>
      <c r="BK27" s="30" t="s">
        <v>40</v>
      </c>
      <c r="BL27" s="29">
        <f>IF($A$87=$L$87,"限度超過",IF(BG27=0,0,BG27/$S$5))</f>
        <v>0</v>
      </c>
      <c r="BM27" s="12"/>
      <c r="BN27" s="30" t="s">
        <v>35</v>
      </c>
      <c r="BO27" s="29">
        <f t="shared" si="17"/>
        <v>0</v>
      </c>
      <c r="BP27" s="30" t="s">
        <v>40</v>
      </c>
      <c r="BQ27" s="460">
        <f>IF($A$87=$L$87,"限度超過",IF($S$5&lt;=1,0,BL27))</f>
        <v>0</v>
      </c>
      <c r="BR27" s="12"/>
      <c r="BS27" s="12"/>
      <c r="BT27" s="12"/>
      <c r="BU27" s="12"/>
      <c r="BV27" s="12"/>
      <c r="BW27" s="12"/>
      <c r="BX27" s="32" t="s">
        <v>17</v>
      </c>
      <c r="BY27" s="44">
        <v>0</v>
      </c>
      <c r="BZ27" s="45">
        <f>$CF$8</f>
        <v>18250</v>
      </c>
      <c r="CA27" s="45">
        <f>$CG$8</f>
        <v>13030</v>
      </c>
      <c r="CB27" s="45">
        <f>$CH$8</f>
        <v>5220</v>
      </c>
      <c r="CC27" s="713"/>
      <c r="CD27" s="4"/>
      <c r="CE27" s="4"/>
      <c r="CF27" s="4"/>
      <c r="CG27" s="4"/>
      <c r="CH27" s="4"/>
      <c r="CI27" s="13"/>
      <c r="CM27" s="294"/>
      <c r="CO27" s="301"/>
      <c r="CP27" s="294"/>
      <c r="CQ27" s="294"/>
      <c r="CR27" s="311"/>
    </row>
    <row r="28" spans="1:96" ht="18" customHeight="1">
      <c r="A28" s="1421"/>
      <c r="B28" s="1448"/>
      <c r="C28" s="1376"/>
      <c r="D28" s="855"/>
      <c r="E28" s="1416"/>
      <c r="F28" s="1380"/>
      <c r="G28" s="855"/>
      <c r="H28" s="39">
        <v>100</v>
      </c>
      <c r="I28" s="1277"/>
      <c r="J28" s="855"/>
      <c r="K28" s="55">
        <v>12</v>
      </c>
      <c r="L28" s="12" t="s">
        <v>5</v>
      </c>
      <c r="M28" s="1380"/>
      <c r="N28" s="1407"/>
      <c r="O28" s="86"/>
      <c r="P28" s="1377"/>
      <c r="Q28" s="1377"/>
      <c r="R28" s="1403"/>
      <c r="S28" s="1408"/>
      <c r="T28" s="72" t="s">
        <v>29</v>
      </c>
      <c r="U28" s="105">
        <f>U26+U27</f>
        <v>0</v>
      </c>
      <c r="V28" s="88" t="s">
        <v>6</v>
      </c>
      <c r="W28" s="30" t="s">
        <v>36</v>
      </c>
      <c r="X28" s="29">
        <f t="shared" si="18"/>
        <v>0</v>
      </c>
      <c r="Y28" s="30" t="s">
        <v>41</v>
      </c>
      <c r="Z28" s="31">
        <f t="shared" si="18"/>
        <v>0</v>
      </c>
      <c r="AA28" s="26"/>
      <c r="AB28" s="26"/>
      <c r="AC28" s="494"/>
      <c r="AD28" s="26"/>
      <c r="AE28" s="489"/>
      <c r="AF28" s="1360"/>
      <c r="AG28" s="26"/>
      <c r="AH28" s="26"/>
      <c r="AI28" s="173"/>
      <c r="AJ28" s="173"/>
      <c r="AK28" s="173"/>
      <c r="AL28" s="173"/>
      <c r="AM28" s="173"/>
      <c r="AN28" s="173"/>
      <c r="AO28" s="328" t="s">
        <v>36</v>
      </c>
      <c r="AP28" s="326">
        <f>ROUNDDOWN(AR30/10,-2)</f>
        <v>0</v>
      </c>
      <c r="AQ28" s="327" t="s">
        <v>41</v>
      </c>
      <c r="AR28" s="358">
        <f>ROUNDDOWN(AR30/10,-2)</f>
        <v>0</v>
      </c>
      <c r="AS28" s="173"/>
      <c r="AT28" s="316" t="s">
        <v>36</v>
      </c>
      <c r="AU28" s="377">
        <f t="shared" si="13"/>
        <v>0</v>
      </c>
      <c r="AV28" s="314" t="s">
        <v>41</v>
      </c>
      <c r="AW28" s="378">
        <f>IF($AG$2&gt;0,"限度超過",AR28-BB117-BB206)</f>
        <v>0</v>
      </c>
      <c r="AX28" s="379"/>
      <c r="AY28" s="409" t="s">
        <v>36</v>
      </c>
      <c r="AZ28" s="313">
        <f t="shared" si="14"/>
        <v>0</v>
      </c>
      <c r="BA28" s="314" t="s">
        <v>41</v>
      </c>
      <c r="BB28" s="408">
        <f>AW28</f>
        <v>0</v>
      </c>
      <c r="BC28" s="379"/>
      <c r="BD28" s="451" t="s">
        <v>36</v>
      </c>
      <c r="BE28" s="81">
        <f t="shared" si="15"/>
        <v>0</v>
      </c>
      <c r="BF28" s="82" t="s">
        <v>41</v>
      </c>
      <c r="BG28" s="29">
        <f>BG18</f>
        <v>0</v>
      </c>
      <c r="BH28" s="12"/>
      <c r="BI28" s="30" t="s">
        <v>36</v>
      </c>
      <c r="BJ28" s="29">
        <f t="shared" si="16"/>
        <v>0</v>
      </c>
      <c r="BK28" s="30" t="s">
        <v>41</v>
      </c>
      <c r="BL28" s="29">
        <f>IF($A$87=$L$87,"限度超過",IF(BG28=0,0,BG28/$S$5))</f>
        <v>0</v>
      </c>
      <c r="BM28" s="12"/>
      <c r="BN28" s="30" t="s">
        <v>36</v>
      </c>
      <c r="BO28" s="29">
        <f t="shared" si="17"/>
        <v>0</v>
      </c>
      <c r="BP28" s="30" t="s">
        <v>41</v>
      </c>
      <c r="BQ28" s="460">
        <f>IF($A$87=$L$87,"限度超過",IF($S$5&lt;=1,0,BL28))</f>
        <v>0</v>
      </c>
      <c r="BR28" s="12"/>
      <c r="BS28" s="12"/>
      <c r="BT28" s="12"/>
      <c r="BU28" s="12"/>
      <c r="BV28" s="12"/>
      <c r="BW28" s="12"/>
      <c r="BX28" s="32" t="s">
        <v>8</v>
      </c>
      <c r="BY28" s="45">
        <f>K30</f>
        <v>0</v>
      </c>
      <c r="BZ28" s="45">
        <f t="shared" ref="BZ28:CB30" si="19">BY28</f>
        <v>0</v>
      </c>
      <c r="CA28" s="45">
        <f t="shared" si="19"/>
        <v>0</v>
      </c>
      <c r="CB28" s="45">
        <f t="shared" si="19"/>
        <v>0</v>
      </c>
      <c r="CC28" s="713">
        <f>CB28</f>
        <v>0</v>
      </c>
      <c r="CD28" s="4"/>
      <c r="CE28" s="4"/>
      <c r="CF28" s="4"/>
      <c r="CG28" s="4"/>
      <c r="CH28" s="4"/>
      <c r="CI28" s="13"/>
      <c r="CK28" s="1339" t="s">
        <v>199</v>
      </c>
      <c r="CL28" s="1335" t="s">
        <v>197</v>
      </c>
      <c r="CM28" s="1329" t="s">
        <v>178</v>
      </c>
      <c r="CN28" s="334"/>
      <c r="CO28" s="301"/>
      <c r="CP28" s="294"/>
      <c r="CQ28" s="294"/>
      <c r="CR28" s="311"/>
    </row>
    <row r="29" spans="1:96" ht="18" customHeight="1">
      <c r="A29" s="165"/>
      <c r="B29" s="12"/>
      <c r="C29" s="50"/>
      <c r="D29" s="12"/>
      <c r="E29" s="12"/>
      <c r="F29" s="12"/>
      <c r="G29" s="12"/>
      <c r="H29" s="91"/>
      <c r="I29" s="75"/>
      <c r="J29" s="75"/>
      <c r="K29" s="92"/>
      <c r="L29" s="75"/>
      <c r="M29" s="93"/>
      <c r="N29" s="714" t="str">
        <f>IF(入力画面!E17=1,"未就学児",0)</f>
        <v>未就学児</v>
      </c>
      <c r="O29" s="42">
        <f>IF(H30=0,0,$D$5)</f>
        <v>0</v>
      </c>
      <c r="P29" s="466">
        <f>IF(O30=0,0,"軽減額")</f>
        <v>0</v>
      </c>
      <c r="Q29" s="12"/>
      <c r="R29" s="95"/>
      <c r="S29" s="49"/>
      <c r="T29" s="96" t="s">
        <v>31</v>
      </c>
      <c r="U29" s="105">
        <f>ROUNDDOWN(U28,-2)</f>
        <v>0</v>
      </c>
      <c r="V29" s="88" t="s">
        <v>6</v>
      </c>
      <c r="W29" s="30" t="s">
        <v>43</v>
      </c>
      <c r="X29" s="29">
        <f t="shared" si="18"/>
        <v>0</v>
      </c>
      <c r="Y29" s="30" t="s">
        <v>42</v>
      </c>
      <c r="Z29" s="31">
        <f>IF($AH$13&gt;0,0,BB29)</f>
        <v>0</v>
      </c>
      <c r="AA29" s="4"/>
      <c r="AB29" s="4"/>
      <c r="AC29" s="492"/>
      <c r="AD29" s="4"/>
      <c r="AE29" s="500" t="str">
        <f>IF($AH$13&gt;0,"－",IF($AG$2&gt;0,"限度超過",IF(U30=Z30,"OK","ｱﾝﾏｯﾁ")))</f>
        <v>OK</v>
      </c>
      <c r="AF29" s="499"/>
      <c r="AG29" s="4"/>
      <c r="AI29" s="174"/>
      <c r="AJ29" s="174"/>
      <c r="AK29" s="174"/>
      <c r="AL29" s="174"/>
      <c r="AM29" s="174"/>
      <c r="AN29" s="173"/>
      <c r="AO29" s="328" t="s">
        <v>43</v>
      </c>
      <c r="AP29" s="326">
        <f>ROUNDDOWN(AR30/10,-2)</f>
        <v>0</v>
      </c>
      <c r="AQ29" s="327" t="s">
        <v>42</v>
      </c>
      <c r="AR29" s="358">
        <f>ROUNDDOWN(AR30/10,-2)</f>
        <v>0</v>
      </c>
      <c r="AS29" s="174"/>
      <c r="AT29" s="316" t="s">
        <v>43</v>
      </c>
      <c r="AU29" s="377">
        <f t="shared" si="13"/>
        <v>0</v>
      </c>
      <c r="AV29" s="314" t="s">
        <v>42</v>
      </c>
      <c r="AW29" s="378">
        <f>IF($AG$2&gt;0,"限度超過",AR29-BB118-BB207)</f>
        <v>0</v>
      </c>
      <c r="AX29" s="379"/>
      <c r="AY29" s="409" t="s">
        <v>43</v>
      </c>
      <c r="AZ29" s="313">
        <f t="shared" si="14"/>
        <v>0</v>
      </c>
      <c r="BA29" s="314" t="s">
        <v>42</v>
      </c>
      <c r="BB29" s="408">
        <f>AW29</f>
        <v>0</v>
      </c>
      <c r="BC29" s="379"/>
      <c r="BD29" s="451" t="s">
        <v>43</v>
      </c>
      <c r="BE29" s="81">
        <f t="shared" si="15"/>
        <v>0</v>
      </c>
      <c r="BF29" s="82" t="s">
        <v>42</v>
      </c>
      <c r="BG29" s="29">
        <f>BG19</f>
        <v>0</v>
      </c>
      <c r="BH29" s="12"/>
      <c r="BI29" s="30" t="s">
        <v>43</v>
      </c>
      <c r="BJ29" s="29">
        <f t="shared" si="16"/>
        <v>0</v>
      </c>
      <c r="BK29" s="30" t="s">
        <v>42</v>
      </c>
      <c r="BL29" s="29">
        <f>IF($A$87=$L$87,"限度超過",IF(BG29=0,0,BG29/$S$5))</f>
        <v>0</v>
      </c>
      <c r="BM29" s="12"/>
      <c r="BN29" s="30" t="s">
        <v>43</v>
      </c>
      <c r="BO29" s="29">
        <f t="shared" si="17"/>
        <v>0</v>
      </c>
      <c r="BP29" s="30" t="s">
        <v>42</v>
      </c>
      <c r="BQ29" s="460">
        <f>IF($A$87=$L$87,"限度超過",IF($S$5&lt;=1,0,BL29))</f>
        <v>0</v>
      </c>
      <c r="BR29" s="12"/>
      <c r="BS29" s="12"/>
      <c r="BT29" s="12"/>
      <c r="BU29" s="12"/>
      <c r="BV29" s="12"/>
      <c r="BW29" s="12"/>
      <c r="BX29" s="32" t="s">
        <v>25</v>
      </c>
      <c r="BY29" s="45">
        <f>K31</f>
        <v>0</v>
      </c>
      <c r="BZ29" s="45">
        <f t="shared" si="19"/>
        <v>0</v>
      </c>
      <c r="CA29" s="45">
        <f t="shared" si="19"/>
        <v>0</v>
      </c>
      <c r="CB29" s="45">
        <f t="shared" si="19"/>
        <v>0</v>
      </c>
      <c r="CC29" s="713">
        <f>CB29</f>
        <v>0</v>
      </c>
      <c r="CD29" s="4"/>
      <c r="CE29" s="4"/>
      <c r="CF29" s="4"/>
      <c r="CG29" s="4"/>
      <c r="CH29" s="4"/>
      <c r="CI29" s="13"/>
      <c r="CK29" s="1340"/>
      <c r="CL29" s="1336"/>
      <c r="CM29" s="1330"/>
      <c r="CN29" s="335"/>
      <c r="CO29" s="301"/>
      <c r="CP29" s="294"/>
      <c r="CQ29" s="294"/>
      <c r="CR29" s="311"/>
    </row>
    <row r="30" spans="1:96" ht="18" customHeight="1">
      <c r="A30" s="1421" t="s">
        <v>10</v>
      </c>
      <c r="B30" s="12"/>
      <c r="C30" s="12"/>
      <c r="D30" s="1419" t="s">
        <v>7</v>
      </c>
      <c r="E30" s="1416">
        <f>IF(H30&gt;0,$CE$8,0)</f>
        <v>0</v>
      </c>
      <c r="F30" s="97"/>
      <c r="G30" s="855" t="s">
        <v>59</v>
      </c>
      <c r="H30" s="1413">
        <f>IF(B25=0,0,SUBTOTAL(3,B25))</f>
        <v>0</v>
      </c>
      <c r="I30" s="1277" t="s">
        <v>22</v>
      </c>
      <c r="J30" s="855" t="s">
        <v>59</v>
      </c>
      <c r="K30" s="51">
        <f>IF(H30&gt;0,K27,0)</f>
        <v>0</v>
      </c>
      <c r="L30" s="52" t="s">
        <v>5</v>
      </c>
      <c r="M30" s="1407" t="s">
        <v>122</v>
      </c>
      <c r="N30" s="1402">
        <f>IF(O30=0,0,"―")</f>
        <v>0</v>
      </c>
      <c r="O30" s="1404">
        <f>IF(H30=0,0,IF(BY32=0,IF($D$5=7,BZ31,IF($D$5=5,CA31,IF($D$5=2,CB31,CC31))),IF($D$5=7,BZ31+BZ32,IF($D$5=5,CA31+CA32,IF($D$5=2,CB31+CB32,CC31+CC32)))))</f>
        <v>0</v>
      </c>
      <c r="P30" s="1405"/>
      <c r="Q30" s="1377" t="s">
        <v>130</v>
      </c>
      <c r="R30" s="1403">
        <f>IF(H30&gt;0,IF(K27=0,0,ROUNDDOWN(((E30*H30)*K30/K31)-O30,0)),0)</f>
        <v>0</v>
      </c>
      <c r="S30" s="1381" t="s">
        <v>6</v>
      </c>
      <c r="T30" s="1388" t="s">
        <v>32</v>
      </c>
      <c r="U30" s="1387">
        <f>IF($L$87=$A$87,"限度超過!",U28)</f>
        <v>0</v>
      </c>
      <c r="V30" s="1389" t="s">
        <v>6</v>
      </c>
      <c r="W30" s="30" t="s">
        <v>37</v>
      </c>
      <c r="X30" s="29">
        <f t="shared" si="18"/>
        <v>0</v>
      </c>
      <c r="Y30" s="1199" t="s">
        <v>44</v>
      </c>
      <c r="Z30" s="1394">
        <f>IF($AH$13&gt;0,0,BB30)</f>
        <v>0</v>
      </c>
      <c r="AB30" s="4"/>
      <c r="AC30" s="492"/>
      <c r="AD30" s="4"/>
      <c r="AE30" s="500" t="str">
        <f>IF($AG$2&gt;0,"限度超過",IF(X26+X27+X28+X29+X30+X31+Z26+Z27+Z28+Z29=Z30,"OK","エラー"))</f>
        <v>OK</v>
      </c>
      <c r="AF30" s="1361">
        <f>IF(H30&gt;0,IF(K27=0,0,ROUNDDOWN((E30*H30)-O30,0)),0)</f>
        <v>0</v>
      </c>
      <c r="AG30" s="4"/>
      <c r="AI30" s="174"/>
      <c r="AJ30" s="174"/>
      <c r="AK30" s="174"/>
      <c r="AL30" s="174"/>
      <c r="AM30" s="174"/>
      <c r="AN30" s="173"/>
      <c r="AO30" s="328" t="s">
        <v>37</v>
      </c>
      <c r="AP30" s="326">
        <f>ROUNDDOWN(AR30/10,-2)</f>
        <v>0</v>
      </c>
      <c r="AQ30" s="329" t="s">
        <v>44</v>
      </c>
      <c r="AR30" s="330">
        <f>IF($AG$2&gt;0,0,IF($AH$13&gt;0,0,U30+U119+U208))</f>
        <v>0</v>
      </c>
      <c r="AS30" s="174"/>
      <c r="AT30" s="316" t="s">
        <v>37</v>
      </c>
      <c r="AU30" s="377">
        <f t="shared" si="13"/>
        <v>0</v>
      </c>
      <c r="AV30" s="317" t="s">
        <v>44</v>
      </c>
      <c r="AW30" s="315">
        <f>IF($AG$2&gt;0,"限度超過",AU26+AU27+AU28+AU29+AU30+AU31+AW26+AW27+AW28+AW29)</f>
        <v>0</v>
      </c>
      <c r="AX30" s="379"/>
      <c r="AY30" s="409" t="s">
        <v>37</v>
      </c>
      <c r="AZ30" s="313">
        <f t="shared" si="14"/>
        <v>0</v>
      </c>
      <c r="BA30" s="317" t="s">
        <v>44</v>
      </c>
      <c r="BB30" s="408">
        <f>AW30</f>
        <v>0</v>
      </c>
      <c r="BC30" s="379"/>
      <c r="BD30" s="451" t="s">
        <v>37</v>
      </c>
      <c r="BE30" s="81">
        <f t="shared" si="15"/>
        <v>0</v>
      </c>
      <c r="BF30" s="443" t="s">
        <v>44</v>
      </c>
      <c r="BG30" s="29">
        <f>IF($A$87=$L$87,"限度超過",BE26+BE27+BE28+BE29+BE30+BE31+BG26+BG27+BG28+BG29)</f>
        <v>0</v>
      </c>
      <c r="BH30" s="12"/>
      <c r="BI30" s="30" t="s">
        <v>37</v>
      </c>
      <c r="BJ30" s="29">
        <f t="shared" si="16"/>
        <v>0</v>
      </c>
      <c r="BK30" s="98" t="s">
        <v>44</v>
      </c>
      <c r="BL30" s="29">
        <f>IF($A$87=$L$87,"限度超過",BJ26+BJ27+BJ28+BJ29+BJ30+BJ31+BL26+BL27+BL28+BL29)</f>
        <v>0</v>
      </c>
      <c r="BM30" s="12"/>
      <c r="BN30" s="30" t="s">
        <v>37</v>
      </c>
      <c r="BO30" s="29">
        <f t="shared" si="17"/>
        <v>0</v>
      </c>
      <c r="BP30" s="98" t="s">
        <v>44</v>
      </c>
      <c r="BQ30" s="460">
        <f>IF($A$87=$L$87,"限度超過",BO26+BO27+BO28+BO29+BO30+BO31+BQ26+BQ27+BQ28+BQ29)</f>
        <v>0</v>
      </c>
      <c r="BR30" s="12"/>
      <c r="BS30" s="12"/>
      <c r="BT30" s="12"/>
      <c r="BU30" s="12"/>
      <c r="BV30" s="12"/>
      <c r="BW30" s="12"/>
      <c r="BX30" s="32" t="s">
        <v>26</v>
      </c>
      <c r="BY30" s="26">
        <f>H30</f>
        <v>0</v>
      </c>
      <c r="BZ30" s="99">
        <f t="shared" si="19"/>
        <v>0</v>
      </c>
      <c r="CA30" s="99">
        <f t="shared" si="19"/>
        <v>0</v>
      </c>
      <c r="CB30" s="99">
        <f t="shared" si="19"/>
        <v>0</v>
      </c>
      <c r="CC30" s="713">
        <f>CB30</f>
        <v>0</v>
      </c>
      <c r="CD30" s="4"/>
      <c r="CE30" s="4"/>
      <c r="CF30" s="4"/>
      <c r="CG30" s="4"/>
      <c r="CH30" s="4"/>
      <c r="CI30" s="13"/>
      <c r="CK30" s="1341" t="s">
        <v>185</v>
      </c>
      <c r="CL30" s="336" t="s">
        <v>75</v>
      </c>
      <c r="CM30" s="337">
        <f>L87</f>
        <v>12000</v>
      </c>
      <c r="CN30" s="334"/>
      <c r="CO30" s="301"/>
      <c r="CP30" s="294"/>
      <c r="CQ30" s="294"/>
      <c r="CR30" s="311"/>
    </row>
    <row r="31" spans="1:96" ht="18" customHeight="1">
      <c r="A31" s="1421"/>
      <c r="B31" s="12"/>
      <c r="C31" s="12"/>
      <c r="D31" s="1419"/>
      <c r="E31" s="1416"/>
      <c r="F31" s="12"/>
      <c r="G31" s="855"/>
      <c r="H31" s="1413"/>
      <c r="I31" s="1277"/>
      <c r="J31" s="855"/>
      <c r="K31" s="180">
        <f>IF(H30&gt;0,K28,0)</f>
        <v>0</v>
      </c>
      <c r="L31" s="12" t="s">
        <v>5</v>
      </c>
      <c r="M31" s="1407"/>
      <c r="N31" s="1402"/>
      <c r="O31" s="1405"/>
      <c r="P31" s="1405"/>
      <c r="Q31" s="1377"/>
      <c r="R31" s="1403"/>
      <c r="S31" s="1381"/>
      <c r="T31" s="1388"/>
      <c r="U31" s="1387"/>
      <c r="V31" s="1389"/>
      <c r="W31" s="30" t="s">
        <v>38</v>
      </c>
      <c r="X31" s="29">
        <f t="shared" si="18"/>
        <v>0</v>
      </c>
      <c r="Y31" s="1368"/>
      <c r="Z31" s="1395"/>
      <c r="AA31" s="73"/>
      <c r="AB31" s="73"/>
      <c r="AC31" s="225"/>
      <c r="AD31" s="73"/>
      <c r="AE31" s="73"/>
      <c r="AF31" s="1360"/>
      <c r="AG31" s="73"/>
      <c r="AH31" s="191"/>
      <c r="AI31" s="175"/>
      <c r="AJ31" s="175"/>
      <c r="AK31" s="175"/>
      <c r="AL31" s="175"/>
      <c r="AM31" s="175"/>
      <c r="AN31" s="174"/>
      <c r="AO31" s="328" t="s">
        <v>38</v>
      </c>
      <c r="AP31" s="326">
        <f>ROUNDDOWN(AR30/10,-2)</f>
        <v>0</v>
      </c>
      <c r="AQ31" s="327"/>
      <c r="AR31" s="331"/>
      <c r="AS31" s="175"/>
      <c r="AT31" s="316" t="s">
        <v>38</v>
      </c>
      <c r="AU31" s="377">
        <f t="shared" si="13"/>
        <v>0</v>
      </c>
      <c r="AV31" s="314" t="s">
        <v>75</v>
      </c>
      <c r="AW31" s="332">
        <f>IF($AG$2&gt;0,"限度超過",U30)</f>
        <v>0</v>
      </c>
      <c r="AX31" s="379"/>
      <c r="AY31" s="409" t="s">
        <v>38</v>
      </c>
      <c r="AZ31" s="313">
        <f t="shared" si="14"/>
        <v>0</v>
      </c>
      <c r="BA31" s="314"/>
      <c r="BB31" s="410"/>
      <c r="BC31" s="379"/>
      <c r="BD31" s="451" t="s">
        <v>38</v>
      </c>
      <c r="BE31" s="81">
        <f t="shared" si="15"/>
        <v>0</v>
      </c>
      <c r="BF31" s="82"/>
      <c r="BG31" s="100"/>
      <c r="BH31" s="12"/>
      <c r="BI31" s="30" t="s">
        <v>38</v>
      </c>
      <c r="BJ31" s="29">
        <f t="shared" si="16"/>
        <v>0</v>
      </c>
      <c r="BK31" s="30"/>
      <c r="BL31" s="100"/>
      <c r="BM31" s="12"/>
      <c r="BN31" s="30" t="s">
        <v>38</v>
      </c>
      <c r="BO31" s="29">
        <f t="shared" si="17"/>
        <v>0</v>
      </c>
      <c r="BP31" s="30"/>
      <c r="BQ31" s="461"/>
      <c r="BR31" s="12"/>
      <c r="BS31" s="12"/>
      <c r="BT31" s="12"/>
      <c r="BU31" s="12"/>
      <c r="BV31" s="12"/>
      <c r="BW31" s="12"/>
      <c r="BX31" s="67" t="s">
        <v>27</v>
      </c>
      <c r="BY31" s="45">
        <f>IF(BY30&gt;0,ROUNDDOWN(BY27*BY30*BY28/BY29,0),0)</f>
        <v>0</v>
      </c>
      <c r="BZ31" s="45">
        <f>IF(BZ30&gt;0,ROUNDDOWN(BZ27*BZ30*BZ28/BZ29,0),0)</f>
        <v>0</v>
      </c>
      <c r="CA31" s="45">
        <f>IF(CA30&gt;0,ROUNDDOWN(CA27*CA30*CA28/CA29,0),0)</f>
        <v>0</v>
      </c>
      <c r="CB31" s="45">
        <f>IF(CB30&gt;0,ROUNDDOWN(CB27*CB30*CB28/CB29,0),0)</f>
        <v>0</v>
      </c>
      <c r="CC31" s="713">
        <v>0</v>
      </c>
      <c r="CD31" s="4"/>
      <c r="CE31" s="4"/>
      <c r="CF31" s="4"/>
      <c r="CG31" s="4"/>
      <c r="CH31" s="4"/>
      <c r="CI31" s="13"/>
      <c r="CK31" s="1341"/>
      <c r="CL31" s="338" t="s">
        <v>186</v>
      </c>
      <c r="CM31" s="339">
        <f>CM15-CP48-CP66</f>
        <v>1267</v>
      </c>
      <c r="CN31" s="340"/>
      <c r="CO31" s="301"/>
      <c r="CP31" s="294"/>
      <c r="CQ31" s="294"/>
      <c r="CR31" s="311"/>
    </row>
    <row r="32" spans="1:96" ht="18" customHeight="1">
      <c r="A32" s="202"/>
      <c r="B32" s="75" t="s">
        <v>118</v>
      </c>
      <c r="C32" s="12"/>
      <c r="D32" s="160"/>
      <c r="E32" s="161"/>
      <c r="F32" s="12"/>
      <c r="G32" s="50"/>
      <c r="H32" s="162"/>
      <c r="I32" s="159"/>
      <c r="J32" s="50"/>
      <c r="K32" s="180"/>
      <c r="L32" s="12"/>
      <c r="M32" s="86"/>
      <c r="N32" s="86"/>
      <c r="O32" s="181"/>
      <c r="P32" s="181"/>
      <c r="Q32" s="156"/>
      <c r="R32" s="157"/>
      <c r="S32" s="49"/>
      <c r="T32" s="50"/>
      <c r="U32" s="182"/>
      <c r="V32" s="50"/>
      <c r="W32" s="4"/>
      <c r="X32" s="26"/>
      <c r="Y32" s="170"/>
      <c r="Z32" s="187"/>
      <c r="AA32" s="26"/>
      <c r="AB32" s="26"/>
      <c r="AC32" s="494"/>
      <c r="AD32" s="26"/>
      <c r="AE32" s="489"/>
      <c r="AF32" s="236"/>
      <c r="AG32" s="26"/>
      <c r="AH32" s="26"/>
      <c r="AI32" s="173"/>
      <c r="AJ32" s="179"/>
      <c r="AK32" s="179"/>
      <c r="AL32" s="179"/>
      <c r="AM32" s="179"/>
      <c r="AN32" s="174"/>
      <c r="AO32" s="486"/>
      <c r="AP32" s="486"/>
      <c r="AQ32" s="487"/>
      <c r="AR32" s="487"/>
      <c r="AS32" s="179"/>
      <c r="AT32" s="381"/>
      <c r="AU32" s="472">
        <f>IF($AG$2&gt;0,"限度超過",0)</f>
        <v>0</v>
      </c>
      <c r="AV32" s="380"/>
      <c r="AW32" s="382" t="str">
        <f>IF(AW30=AW31,"OK","エラー")</f>
        <v>OK</v>
      </c>
      <c r="AX32" s="379"/>
      <c r="AY32" s="411"/>
      <c r="AZ32" s="320"/>
      <c r="BA32" s="319"/>
      <c r="BB32" s="412"/>
      <c r="BC32" s="379"/>
      <c r="BD32" s="452"/>
      <c r="BE32" s="26"/>
      <c r="BF32" s="4" t="s">
        <v>260</v>
      </c>
      <c r="BH32" s="12"/>
      <c r="BJ32" s="26"/>
      <c r="BM32" s="12"/>
      <c r="BO32" s="26"/>
      <c r="BQ32" s="462"/>
      <c r="BR32" s="12"/>
      <c r="BS32" s="12"/>
      <c r="BT32" s="12"/>
      <c r="BU32" s="12"/>
      <c r="BV32" s="12"/>
      <c r="BW32" s="12"/>
      <c r="BX32" s="32" t="s">
        <v>468</v>
      </c>
      <c r="BY32" s="713">
        <f>IF(入力画面!E17=1,1,0)</f>
        <v>1</v>
      </c>
      <c r="BZ32" s="713" t="e">
        <f>IF($BY$32=1,ROUNDDOWN(CF12*BZ28/BZ29,0),0)</f>
        <v>#DIV/0!</v>
      </c>
      <c r="CA32" s="713" t="e">
        <f>IF($BY$32=1,ROUNDDOWN(CG12*CA28/CA29,0),0)</f>
        <v>#DIV/0!</v>
      </c>
      <c r="CB32" s="713" t="e">
        <f>IF($BY$32=1,ROUNDDOWN(CH12*CB28/CB29,0),0)</f>
        <v>#DIV/0!</v>
      </c>
      <c r="CC32" s="713" t="e">
        <f>IF($BY$32=1,ROUNDDOWN(CE12*CC28/CC29,0),0)</f>
        <v>#DIV/0!</v>
      </c>
      <c r="CD32" s="4"/>
      <c r="CE32" s="4"/>
      <c r="CF32" s="4"/>
      <c r="CG32" s="4"/>
      <c r="CH32" s="4"/>
      <c r="CI32" s="13"/>
      <c r="CK32" s="1341"/>
      <c r="CL32" s="338" t="s">
        <v>187</v>
      </c>
      <c r="CM32" s="339">
        <f t="shared" ref="CM32:CM40" si="20">CM16-CP49-CP67</f>
        <v>1193</v>
      </c>
      <c r="CN32" s="340"/>
      <c r="CO32" s="301"/>
      <c r="CP32" s="294"/>
      <c r="CQ32" s="294"/>
      <c r="CR32" s="311"/>
    </row>
    <row r="33" spans="1:96" ht="18" customHeight="1">
      <c r="A33" s="58" t="s">
        <v>1</v>
      </c>
      <c r="B33" s="52"/>
      <c r="C33" s="189">
        <f>IF(H30&gt;0,$X$13,0)</f>
        <v>0</v>
      </c>
      <c r="D33" s="203" t="s">
        <v>6</v>
      </c>
      <c r="E33" s="60" t="s">
        <v>131</v>
      </c>
      <c r="F33" s="1204">
        <f>K27</f>
        <v>0</v>
      </c>
      <c r="G33" s="1204"/>
      <c r="H33" s="216" t="s">
        <v>5</v>
      </c>
      <c r="I33" s="1451" t="s">
        <v>14</v>
      </c>
      <c r="J33" s="1451"/>
      <c r="K33" s="1204">
        <f>C33*F33</f>
        <v>0</v>
      </c>
      <c r="L33" s="1204"/>
      <c r="M33" s="204" t="s">
        <v>6</v>
      </c>
      <c r="N33" s="204"/>
      <c r="O33" s="205"/>
      <c r="P33" s="205"/>
      <c r="Q33" s="63"/>
      <c r="R33" s="206"/>
      <c r="S33" s="59"/>
      <c r="T33" s="27"/>
      <c r="U33" s="207"/>
      <c r="V33" s="27"/>
      <c r="W33" s="188"/>
      <c r="X33" s="189"/>
      <c r="Y33" s="208"/>
      <c r="Z33" s="163"/>
      <c r="AA33" s="26"/>
      <c r="AB33" s="26"/>
      <c r="AC33" s="494"/>
      <c r="AD33" s="26"/>
      <c r="AE33" s="489"/>
      <c r="AF33" s="237"/>
      <c r="AG33" s="26"/>
      <c r="AH33" s="26"/>
      <c r="AI33" s="173"/>
      <c r="AJ33" s="179"/>
      <c r="AK33" s="179"/>
      <c r="AL33" s="179"/>
      <c r="AM33" s="179"/>
      <c r="AN33" s="175"/>
      <c r="AO33" s="1322" t="s">
        <v>252</v>
      </c>
      <c r="AP33" s="1322"/>
      <c r="AQ33" s="487"/>
      <c r="AR33" s="487"/>
      <c r="AS33" s="179"/>
      <c r="AT33" s="1306" t="s">
        <v>245</v>
      </c>
      <c r="AU33" s="1306"/>
      <c r="AV33" s="384"/>
      <c r="AW33" s="384"/>
      <c r="AX33" s="379"/>
      <c r="AY33" s="1307" t="s">
        <v>245</v>
      </c>
      <c r="AZ33" s="1306"/>
      <c r="BA33" s="319"/>
      <c r="BB33" s="412"/>
      <c r="BC33" s="379"/>
      <c r="BD33" s="452"/>
      <c r="BE33" s="26"/>
      <c r="BF33" s="4" t="s">
        <v>261</v>
      </c>
      <c r="BH33" s="12"/>
      <c r="BJ33" s="26"/>
      <c r="BM33" s="12"/>
      <c r="BO33" s="26"/>
      <c r="BQ33" s="462"/>
      <c r="BR33" s="12"/>
      <c r="BS33" s="12"/>
      <c r="BT33" s="12"/>
      <c r="BU33" s="12"/>
      <c r="BV33" s="12"/>
      <c r="BW33" s="12"/>
      <c r="BX33" s="4"/>
      <c r="BY33" s="26"/>
      <c r="BZ33" s="26"/>
      <c r="CA33" s="26"/>
      <c r="CB33" s="26"/>
      <c r="CC33" s="4"/>
      <c r="CD33" s="4"/>
      <c r="CE33" s="4"/>
      <c r="CF33" s="4"/>
      <c r="CG33" s="4"/>
      <c r="CH33" s="4"/>
      <c r="CI33" s="13"/>
      <c r="CK33" s="1341"/>
      <c r="CL33" s="338" t="s">
        <v>188</v>
      </c>
      <c r="CM33" s="339">
        <f t="shared" si="20"/>
        <v>1193</v>
      </c>
      <c r="CN33" s="340"/>
      <c r="CO33" s="301"/>
      <c r="CP33" s="294"/>
      <c r="CQ33" s="294"/>
      <c r="CR33" s="311"/>
    </row>
    <row r="34" spans="1:96" ht="18" customHeight="1">
      <c r="D34" s="101"/>
      <c r="E34" s="70"/>
      <c r="G34" s="9"/>
      <c r="H34" s="102"/>
      <c r="I34" s="5"/>
      <c r="J34" s="9"/>
      <c r="K34" s="18"/>
      <c r="M34" s="103"/>
      <c r="P34" s="103"/>
      <c r="Q34" s="70"/>
      <c r="R34" s="104"/>
      <c r="S34" s="68"/>
      <c r="T34" s="68"/>
      <c r="U34" s="68"/>
      <c r="V34" s="18"/>
      <c r="AA34" s="26"/>
      <c r="AB34" s="26"/>
      <c r="AC34" s="494"/>
      <c r="AD34" s="26"/>
      <c r="AE34" s="489"/>
      <c r="AF34" s="233"/>
      <c r="AG34" s="26"/>
      <c r="AH34" s="26"/>
      <c r="AI34" s="173"/>
      <c r="AJ34" s="173"/>
      <c r="AK34" s="173"/>
      <c r="AL34" s="173"/>
      <c r="AM34" s="173"/>
      <c r="AN34" s="173"/>
      <c r="AO34" s="324" t="s">
        <v>53</v>
      </c>
      <c r="AP34" s="346" t="s">
        <v>214</v>
      </c>
      <c r="AQ34" s="1323" t="s">
        <v>213</v>
      </c>
      <c r="AR34" s="1323"/>
      <c r="AS34" s="173"/>
      <c r="AT34" s="1310" t="s">
        <v>242</v>
      </c>
      <c r="AU34" s="1310"/>
      <c r="AV34" s="1310"/>
      <c r="AW34" s="1310"/>
      <c r="AX34" s="379"/>
      <c r="AY34" s="406" t="s">
        <v>257</v>
      </c>
      <c r="AZ34" s="1308" t="s">
        <v>258</v>
      </c>
      <c r="BA34" s="1308"/>
      <c r="BB34" s="1309"/>
      <c r="BC34" s="379"/>
      <c r="BD34" s="1267" t="s">
        <v>259</v>
      </c>
      <c r="BE34" s="1268"/>
      <c r="BF34" s="1268"/>
      <c r="BG34" s="1268"/>
      <c r="BH34" s="12"/>
      <c r="BI34" s="440" t="s">
        <v>262</v>
      </c>
      <c r="BJ34" s="1269" t="s">
        <v>263</v>
      </c>
      <c r="BK34" s="1269"/>
      <c r="BL34" s="1269"/>
      <c r="BM34" s="12"/>
      <c r="BO34" s="143" t="s">
        <v>126</v>
      </c>
      <c r="BP34" s="12" t="s">
        <v>88</v>
      </c>
      <c r="BQ34" s="449"/>
      <c r="BR34" s="12"/>
      <c r="BS34" s="12"/>
      <c r="BT34" s="12"/>
      <c r="BU34" s="12"/>
      <c r="BV34" s="12"/>
      <c r="BW34" s="12"/>
      <c r="BX34" s="4"/>
      <c r="BY34" s="4"/>
      <c r="BZ34" s="4"/>
      <c r="CA34" s="4"/>
      <c r="CB34" s="4"/>
      <c r="CC34" s="4"/>
      <c r="CD34" s="4"/>
      <c r="CE34" s="4"/>
      <c r="CF34" s="4"/>
      <c r="CG34" s="4"/>
      <c r="CH34" s="4"/>
      <c r="CI34" s="13"/>
      <c r="CK34" s="1341"/>
      <c r="CL34" s="338" t="s">
        <v>189</v>
      </c>
      <c r="CM34" s="339">
        <f t="shared" si="20"/>
        <v>1193</v>
      </c>
      <c r="CN34" s="340"/>
      <c r="CO34" s="301"/>
      <c r="CP34" s="294"/>
      <c r="CQ34" s="294"/>
      <c r="CR34" s="311"/>
    </row>
    <row r="35" spans="1:96" ht="18" customHeight="1">
      <c r="A35" s="196" t="s">
        <v>53</v>
      </c>
      <c r="B35" s="1382">
        <f>入力画面!C22</f>
        <v>0</v>
      </c>
      <c r="C35" s="1382"/>
      <c r="D35" s="1382"/>
      <c r="E35" s="198" t="s">
        <v>11</v>
      </c>
      <c r="F35" s="1412" t="s">
        <v>57</v>
      </c>
      <c r="G35" s="1412"/>
      <c r="H35" s="1412"/>
      <c r="I35" s="1449">
        <f>IF(入力画面!I25&gt;0,1,0)</f>
        <v>0</v>
      </c>
      <c r="J35" s="1450"/>
      <c r="K35" s="1373">
        <f>IF(H40=0,0,IF($K$8=0, "加入月が未入力です!！",IF($L$87=$A$87,"限度超過額に達しているため計算不可能!!",IF(U37-U36=U38,"エラー名前を入力されているが加入月未入力!！",IF(H40&gt;K37,"加入月未入力エラー!！",0)))))</f>
        <v>0</v>
      </c>
      <c r="L35" s="1374"/>
      <c r="M35" s="1374"/>
      <c r="N35" s="1374"/>
      <c r="O35" s="1374"/>
      <c r="P35" s="1374"/>
      <c r="Q35" s="1374"/>
      <c r="R35" s="1374"/>
      <c r="S35" s="1375"/>
      <c r="T35" s="197" t="s">
        <v>47</v>
      </c>
      <c r="U35" s="1383">
        <f>IF(U40&gt;0,"医療分",0)</f>
        <v>0</v>
      </c>
      <c r="V35" s="1384"/>
      <c r="W35" s="1385" t="s">
        <v>46</v>
      </c>
      <c r="X35" s="1164"/>
      <c r="Y35" s="1164"/>
      <c r="Z35" s="1165"/>
      <c r="AA35" s="26"/>
      <c r="AB35" s="26"/>
      <c r="AC35" s="494"/>
      <c r="AD35" s="26"/>
      <c r="AE35" s="489"/>
      <c r="AF35" s="238" t="s">
        <v>117</v>
      </c>
      <c r="AG35" s="26"/>
      <c r="AH35" s="276">
        <f>IF(K37=0,0,IF(K37&lt;12,1,0))</f>
        <v>0</v>
      </c>
      <c r="AI35" s="173"/>
      <c r="AJ35" s="173"/>
      <c r="AK35" s="173"/>
      <c r="AL35" s="173"/>
      <c r="AM35" s="173"/>
      <c r="AN35" s="369" t="s">
        <v>146</v>
      </c>
      <c r="AO35" s="1324" t="s">
        <v>46</v>
      </c>
      <c r="AP35" s="1325"/>
      <c r="AQ35" s="1399">
        <f>IF(R37+R40=0,0,IF(K38&gt;K37,"期割がアンマッチ使用禁止↓",0))</f>
        <v>0</v>
      </c>
      <c r="AR35" s="1400"/>
      <c r="AS35" s="173"/>
      <c r="AT35" s="1311" t="s">
        <v>46</v>
      </c>
      <c r="AU35" s="1312"/>
      <c r="AV35" s="1313"/>
      <c r="AW35" s="1314"/>
      <c r="AX35" s="379"/>
      <c r="AY35" s="1319" t="s">
        <v>46</v>
      </c>
      <c r="AZ35" s="1312"/>
      <c r="BA35" s="1313">
        <f>IF($R$17+$R40=0,0,IF($K$18&gt;$K$17,"期割がアンマッチ使用禁止↓",0))</f>
        <v>0</v>
      </c>
      <c r="BB35" s="1346"/>
      <c r="BC35" s="379"/>
      <c r="BD35" s="1272" t="s">
        <v>46</v>
      </c>
      <c r="BE35" s="1273"/>
      <c r="BF35" s="1304" t="s">
        <v>87</v>
      </c>
      <c r="BG35" s="1305"/>
      <c r="BH35" s="12"/>
      <c r="BI35" s="1139" t="s">
        <v>46</v>
      </c>
      <c r="BJ35" s="1273"/>
      <c r="BK35" s="1270"/>
      <c r="BL35" s="1271"/>
      <c r="BM35" s="12"/>
      <c r="BN35" s="1139" t="s">
        <v>46</v>
      </c>
      <c r="BO35" s="1273"/>
      <c r="BP35" s="1270"/>
      <c r="BQ35" s="1278"/>
      <c r="BR35" s="12"/>
      <c r="BS35" s="12"/>
      <c r="BT35" s="12"/>
      <c r="BU35" s="12"/>
      <c r="BV35" s="12"/>
      <c r="BW35" s="12"/>
      <c r="BX35" s="4"/>
      <c r="BY35" s="4"/>
      <c r="BZ35" s="4"/>
      <c r="CA35" s="4"/>
      <c r="CB35" s="4"/>
      <c r="CC35" s="4"/>
      <c r="CD35" s="4"/>
      <c r="CE35" s="4"/>
      <c r="CF35" s="4"/>
      <c r="CG35" s="4"/>
      <c r="CH35" s="4"/>
      <c r="CI35" s="13"/>
      <c r="CK35" s="341"/>
      <c r="CL35" s="338" t="s">
        <v>190</v>
      </c>
      <c r="CM35" s="339">
        <f t="shared" si="20"/>
        <v>1193</v>
      </c>
      <c r="CN35" s="340"/>
      <c r="CO35" s="301"/>
      <c r="CP35" s="294"/>
      <c r="CQ35" s="294"/>
      <c r="CR35" s="311"/>
    </row>
    <row r="36" spans="1:96" ht="18" customHeight="1">
      <c r="A36" s="165"/>
      <c r="B36" s="12"/>
      <c r="C36" s="75" t="s">
        <v>33</v>
      </c>
      <c r="D36" s="12"/>
      <c r="E36" s="12"/>
      <c r="F36" s="12"/>
      <c r="G36" s="12"/>
      <c r="H36" s="50"/>
      <c r="I36" s="93"/>
      <c r="J36" s="12"/>
      <c r="K36" s="76" t="s">
        <v>9</v>
      </c>
      <c r="L36" s="12"/>
      <c r="M36" s="1414"/>
      <c r="N36" s="1414"/>
      <c r="O36" s="1414"/>
      <c r="P36" s="1414"/>
      <c r="Q36" s="1414"/>
      <c r="R36" s="1414"/>
      <c r="S36" s="1415"/>
      <c r="T36" s="72" t="s">
        <v>30</v>
      </c>
      <c r="U36" s="105">
        <f>R37+R40</f>
        <v>0</v>
      </c>
      <c r="V36" s="88" t="s">
        <v>6</v>
      </c>
      <c r="W36" s="80" t="s">
        <v>34</v>
      </c>
      <c r="X36" s="29">
        <f t="shared" ref="X36:X41" si="21">IF($AH$13&gt;0,0,AZ36)</f>
        <v>0</v>
      </c>
      <c r="Y36" s="80" t="s">
        <v>39</v>
      </c>
      <c r="Z36" s="31">
        <f>IF($AH$13&gt;0,0,BB36)</f>
        <v>0</v>
      </c>
      <c r="AA36" s="26"/>
      <c r="AB36" s="26"/>
      <c r="AC36" s="494"/>
      <c r="AD36" s="26"/>
      <c r="AE36" s="489"/>
      <c r="AF36" s="219">
        <f>AF37+AF40+AF43</f>
        <v>0</v>
      </c>
      <c r="AG36" s="26"/>
      <c r="AH36" s="26"/>
      <c r="AI36" s="173"/>
      <c r="AJ36" s="173"/>
      <c r="AK36" s="173"/>
      <c r="AL36" s="173"/>
      <c r="AM36" s="173"/>
      <c r="AN36" s="173"/>
      <c r="AO36" s="325" t="s">
        <v>34</v>
      </c>
      <c r="AP36" s="326">
        <f>AR40-(AP37+AP38+AP39+AP40+AP41+AR36+AR37+AR38+AR39)</f>
        <v>0</v>
      </c>
      <c r="AQ36" s="327" t="s">
        <v>39</v>
      </c>
      <c r="AR36" s="358">
        <f>ROUNDDOWN(AR40/10,-2)</f>
        <v>0</v>
      </c>
      <c r="AS36" s="173"/>
      <c r="AT36" s="316" t="s">
        <v>34</v>
      </c>
      <c r="AU36" s="377">
        <f t="shared" ref="AU36:AU41" si="22">IF($AG$2&gt;0,"限度超過",AP36-AZ125-AZ214)</f>
        <v>0</v>
      </c>
      <c r="AV36" s="314" t="s">
        <v>39</v>
      </c>
      <c r="AW36" s="378">
        <f>IF($AG$2&gt;0,"限度超過",AR36-BB125-BB214)</f>
        <v>0</v>
      </c>
      <c r="AX36" s="379"/>
      <c r="AY36" s="407" t="s">
        <v>34</v>
      </c>
      <c r="AZ36" s="313">
        <f t="shared" ref="AZ36:AZ41" si="23">AU36</f>
        <v>0</v>
      </c>
      <c r="BA36" s="314" t="s">
        <v>39</v>
      </c>
      <c r="BB36" s="408">
        <f>AW36</f>
        <v>0</v>
      </c>
      <c r="BC36" s="379"/>
      <c r="BD36" s="451" t="s">
        <v>34</v>
      </c>
      <c r="BE36" s="81">
        <f t="shared" ref="BE36:BE41" si="24">BE26</f>
        <v>0</v>
      </c>
      <c r="BF36" s="82" t="s">
        <v>39</v>
      </c>
      <c r="BG36" s="29">
        <f>BG26</f>
        <v>0</v>
      </c>
      <c r="BH36" s="12"/>
      <c r="BI36" s="80" t="s">
        <v>34</v>
      </c>
      <c r="BJ36" s="29">
        <f t="shared" ref="BJ36:BJ41" si="25">IF($A$87=$L$87,"限度超過",IF(BE36=0,0,BE36/$S$5))</f>
        <v>0</v>
      </c>
      <c r="BK36" s="80" t="s">
        <v>39</v>
      </c>
      <c r="BL36" s="29">
        <f>IF($A$87=$L$87,"限度超過",IF(BG36=0,0,BG36/$S$5))</f>
        <v>0</v>
      </c>
      <c r="BM36" s="12"/>
      <c r="BN36" s="30" t="s">
        <v>34</v>
      </c>
      <c r="BO36" s="29">
        <f t="shared" ref="BO36:BO41" si="26">IF($A$87=$L$87,"限度超過",IF($S$5&lt;=2,0,BJ36))</f>
        <v>0</v>
      </c>
      <c r="BP36" s="80" t="s">
        <v>39</v>
      </c>
      <c r="BQ36" s="460">
        <f>IF($A$87=$L$87,"限度超過",IF($S$5&lt;=2,0,BL36))</f>
        <v>0</v>
      </c>
      <c r="BR36" s="12"/>
      <c r="BS36" s="12"/>
      <c r="BT36" s="12"/>
      <c r="BU36" s="12"/>
      <c r="BV36" s="12"/>
      <c r="BW36" s="12"/>
      <c r="BX36" s="32"/>
      <c r="BY36" s="33" t="str">
        <f>BY26</f>
        <v>料率</v>
      </c>
      <c r="BZ36" s="33">
        <f>BZ26</f>
        <v>7</v>
      </c>
      <c r="CA36" s="33">
        <f>CA26</f>
        <v>5</v>
      </c>
      <c r="CB36" s="33">
        <f>CB26</f>
        <v>2</v>
      </c>
      <c r="CC36" s="713" t="s">
        <v>467</v>
      </c>
      <c r="CD36" s="4"/>
      <c r="CE36" s="4"/>
      <c r="CF36" s="4"/>
      <c r="CG36" s="4"/>
      <c r="CH36" s="4"/>
      <c r="CI36" s="13"/>
      <c r="CK36" s="341"/>
      <c r="CL36" s="338" t="s">
        <v>191</v>
      </c>
      <c r="CM36" s="339">
        <f t="shared" si="20"/>
        <v>1193</v>
      </c>
      <c r="CN36" s="340"/>
      <c r="CO36" s="301"/>
      <c r="CP36" s="294"/>
      <c r="CQ36" s="294"/>
      <c r="CR36" s="311"/>
    </row>
    <row r="37" spans="1:96" ht="18" customHeight="1">
      <c r="A37" s="1421" t="s">
        <v>0</v>
      </c>
      <c r="B37" s="1448" t="s">
        <v>129</v>
      </c>
      <c r="C37" s="1376">
        <f>入力画面!R24</f>
        <v>0</v>
      </c>
      <c r="D37" s="855" t="s">
        <v>58</v>
      </c>
      <c r="E37" s="1416">
        <f>IF(H40&gt;0,$CE$11, 0)</f>
        <v>0</v>
      </c>
      <c r="F37" s="1380" t="s">
        <v>22</v>
      </c>
      <c r="G37" s="855" t="s">
        <v>59</v>
      </c>
      <c r="H37" s="85">
        <f>IF(H40&gt;0,$CE$7,0)</f>
        <v>0</v>
      </c>
      <c r="I37" s="1277" t="s">
        <v>22</v>
      </c>
      <c r="J37" s="855" t="s">
        <v>59</v>
      </c>
      <c r="K37" s="51">
        <f>入力画面!I23</f>
        <v>0</v>
      </c>
      <c r="L37" s="52" t="s">
        <v>5</v>
      </c>
      <c r="M37" s="1380"/>
      <c r="N37" s="1407"/>
      <c r="O37" s="86"/>
      <c r="P37" s="1377" t="s">
        <v>130</v>
      </c>
      <c r="Q37" s="1377"/>
      <c r="R37" s="1403">
        <f>ROUNDDOWN(IF(((C37-E37)*H37/H38)*K37/K38&lt;0,0,((C37-E37)*H37/H38)*K37/K38),0)</f>
        <v>0</v>
      </c>
      <c r="S37" s="1408" t="s">
        <v>6</v>
      </c>
      <c r="T37" s="72" t="s">
        <v>1</v>
      </c>
      <c r="U37" s="105">
        <f>IF(H40=0,0,K43)</f>
        <v>0</v>
      </c>
      <c r="V37" s="88" t="s">
        <v>6</v>
      </c>
      <c r="W37" s="30" t="s">
        <v>35</v>
      </c>
      <c r="X37" s="29">
        <f t="shared" si="21"/>
        <v>0</v>
      </c>
      <c r="Y37" s="30" t="s">
        <v>40</v>
      </c>
      <c r="Z37" s="31">
        <f>IF($AH$13&gt;0,0,BB37)</f>
        <v>0</v>
      </c>
      <c r="AA37" s="4"/>
      <c r="AB37" s="4"/>
      <c r="AC37" s="492"/>
      <c r="AD37" s="4"/>
      <c r="AE37" s="74"/>
      <c r="AF37" s="1360">
        <f>ROUNDDOWN(IF(((C37-E37)*H37/H38)&lt;0,0,((C37-E37)*H37/H38)),0)</f>
        <v>0</v>
      </c>
      <c r="AG37" s="4"/>
      <c r="AH37" s="4"/>
      <c r="AI37" s="174"/>
      <c r="AJ37" s="174"/>
      <c r="AK37" s="174"/>
      <c r="AL37" s="174"/>
      <c r="AM37" s="174"/>
      <c r="AN37" s="173"/>
      <c r="AO37" s="328" t="s">
        <v>35</v>
      </c>
      <c r="AP37" s="326">
        <f>ROUNDDOWN(AR40/10,-2)</f>
        <v>0</v>
      </c>
      <c r="AQ37" s="327" t="s">
        <v>40</v>
      </c>
      <c r="AR37" s="358">
        <f>ROUNDDOWN(AR40/10,-2)</f>
        <v>0</v>
      </c>
      <c r="AS37" s="174"/>
      <c r="AT37" s="316" t="s">
        <v>35</v>
      </c>
      <c r="AU37" s="377">
        <f t="shared" si="22"/>
        <v>0</v>
      </c>
      <c r="AV37" s="314" t="s">
        <v>40</v>
      </c>
      <c r="AW37" s="378">
        <f>IF($AG$2&gt;0,"限度超過",AR37-BB126-BB215)</f>
        <v>0</v>
      </c>
      <c r="AX37" s="379"/>
      <c r="AY37" s="409" t="s">
        <v>35</v>
      </c>
      <c r="AZ37" s="313">
        <f t="shared" si="23"/>
        <v>0</v>
      </c>
      <c r="BA37" s="314" t="s">
        <v>40</v>
      </c>
      <c r="BB37" s="408">
        <f>AW37</f>
        <v>0</v>
      </c>
      <c r="BC37" s="379"/>
      <c r="BD37" s="451" t="s">
        <v>35</v>
      </c>
      <c r="BE37" s="81">
        <f t="shared" si="24"/>
        <v>0</v>
      </c>
      <c r="BF37" s="82" t="s">
        <v>40</v>
      </c>
      <c r="BG37" s="29">
        <f>BG27</f>
        <v>0</v>
      </c>
      <c r="BH37" s="12"/>
      <c r="BI37" s="30" t="s">
        <v>35</v>
      </c>
      <c r="BJ37" s="29">
        <f t="shared" si="25"/>
        <v>0</v>
      </c>
      <c r="BK37" s="30" t="s">
        <v>40</v>
      </c>
      <c r="BL37" s="29">
        <f>IF($A$87=$L$87,"限度超過",IF(BG37=0,0,BG37/$S$5))</f>
        <v>0</v>
      </c>
      <c r="BM37" s="12"/>
      <c r="BN37" s="30" t="s">
        <v>35</v>
      </c>
      <c r="BO37" s="29">
        <f t="shared" si="26"/>
        <v>0</v>
      </c>
      <c r="BP37" s="30" t="s">
        <v>40</v>
      </c>
      <c r="BQ37" s="460">
        <f>IF($A$87=$L$87,"限度超過",IF($S$5&lt;=2,0,BL37))</f>
        <v>0</v>
      </c>
      <c r="BR37" s="12"/>
      <c r="BS37" s="12"/>
      <c r="BT37" s="12"/>
      <c r="BU37" s="12"/>
      <c r="BV37" s="12"/>
      <c r="BW37" s="12"/>
      <c r="BX37" s="32" t="s">
        <v>17</v>
      </c>
      <c r="BY37" s="44">
        <v>0</v>
      </c>
      <c r="BZ37" s="45">
        <f>$CF$8</f>
        <v>18250</v>
      </c>
      <c r="CA37" s="45">
        <f>$CG$8</f>
        <v>13030</v>
      </c>
      <c r="CB37" s="45">
        <f>$CH$8</f>
        <v>5220</v>
      </c>
      <c r="CC37" s="713"/>
      <c r="CD37" s="4"/>
      <c r="CE37" s="4"/>
      <c r="CF37" s="4"/>
      <c r="CG37" s="4"/>
      <c r="CH37" s="4"/>
      <c r="CI37" s="13"/>
      <c r="CK37" s="341"/>
      <c r="CL37" s="338" t="s">
        <v>192</v>
      </c>
      <c r="CM37" s="339">
        <f t="shared" si="20"/>
        <v>1192</v>
      </c>
      <c r="CN37" s="340"/>
      <c r="CO37" s="301"/>
      <c r="CP37" s="294"/>
      <c r="CQ37" s="294"/>
      <c r="CR37" s="311"/>
    </row>
    <row r="38" spans="1:96" ht="18" customHeight="1">
      <c r="A38" s="1421"/>
      <c r="B38" s="1448"/>
      <c r="C38" s="1376"/>
      <c r="D38" s="855"/>
      <c r="E38" s="1416"/>
      <c r="F38" s="1380"/>
      <c r="G38" s="855"/>
      <c r="H38" s="39">
        <v>100</v>
      </c>
      <c r="I38" s="1277"/>
      <c r="J38" s="855"/>
      <c r="K38" s="55">
        <v>12</v>
      </c>
      <c r="L38" s="12" t="s">
        <v>5</v>
      </c>
      <c r="M38" s="1380"/>
      <c r="N38" s="1407"/>
      <c r="O38" s="86"/>
      <c r="P38" s="1377"/>
      <c r="Q38" s="1377"/>
      <c r="R38" s="1403"/>
      <c r="S38" s="1408"/>
      <c r="T38" s="72" t="s">
        <v>29</v>
      </c>
      <c r="U38" s="105">
        <f>U36+U37</f>
        <v>0</v>
      </c>
      <c r="V38" s="88" t="s">
        <v>6</v>
      </c>
      <c r="W38" s="30" t="s">
        <v>36</v>
      </c>
      <c r="X38" s="29">
        <f t="shared" si="21"/>
        <v>0</v>
      </c>
      <c r="Y38" s="30" t="s">
        <v>41</v>
      </c>
      <c r="Z38" s="31">
        <f>IF($AH$13&gt;0,0,BB38)</f>
        <v>0</v>
      </c>
      <c r="AB38" s="4"/>
      <c r="AC38" s="492"/>
      <c r="AD38" s="4"/>
      <c r="AE38" s="74"/>
      <c r="AF38" s="1360"/>
      <c r="AG38" s="4"/>
      <c r="AH38" s="4"/>
      <c r="AI38" s="174"/>
      <c r="AJ38" s="174"/>
      <c r="AK38" s="174"/>
      <c r="AL38" s="174"/>
      <c r="AM38" s="174"/>
      <c r="AN38" s="173"/>
      <c r="AO38" s="328" t="s">
        <v>36</v>
      </c>
      <c r="AP38" s="326">
        <f>ROUNDDOWN(AR40/10,-2)</f>
        <v>0</v>
      </c>
      <c r="AQ38" s="327" t="s">
        <v>41</v>
      </c>
      <c r="AR38" s="358">
        <f>ROUNDDOWN(AR40/10,-2)</f>
        <v>0</v>
      </c>
      <c r="AS38" s="174"/>
      <c r="AT38" s="316" t="s">
        <v>36</v>
      </c>
      <c r="AU38" s="377">
        <f t="shared" si="22"/>
        <v>0</v>
      </c>
      <c r="AV38" s="314" t="s">
        <v>41</v>
      </c>
      <c r="AW38" s="378">
        <f>IF($AG$2&gt;0,"限度超過",AR38-BB127-BB216)</f>
        <v>0</v>
      </c>
      <c r="AX38" s="379"/>
      <c r="AY38" s="409" t="s">
        <v>36</v>
      </c>
      <c r="AZ38" s="313">
        <f t="shared" si="23"/>
        <v>0</v>
      </c>
      <c r="BA38" s="314" t="s">
        <v>41</v>
      </c>
      <c r="BB38" s="408">
        <f>AW38</f>
        <v>0</v>
      </c>
      <c r="BC38" s="379"/>
      <c r="BD38" s="451" t="s">
        <v>36</v>
      </c>
      <c r="BE38" s="81">
        <f t="shared" si="24"/>
        <v>0</v>
      </c>
      <c r="BF38" s="82" t="s">
        <v>41</v>
      </c>
      <c r="BG38" s="29">
        <f>BG28</f>
        <v>0</v>
      </c>
      <c r="BH38" s="12"/>
      <c r="BI38" s="30" t="s">
        <v>36</v>
      </c>
      <c r="BJ38" s="29">
        <f t="shared" si="25"/>
        <v>0</v>
      </c>
      <c r="BK38" s="30" t="s">
        <v>41</v>
      </c>
      <c r="BL38" s="29">
        <f>IF($A$87=$L$87,"限度超過",IF(BG38=0,0,BG38/$S$5))</f>
        <v>0</v>
      </c>
      <c r="BM38" s="12"/>
      <c r="BN38" s="30" t="s">
        <v>36</v>
      </c>
      <c r="BO38" s="29">
        <f t="shared" si="26"/>
        <v>0</v>
      </c>
      <c r="BP38" s="30" t="s">
        <v>41</v>
      </c>
      <c r="BQ38" s="460">
        <f>IF($A$87=$L$87,"限度超過",IF($S$5&lt;=2,0,BL38))</f>
        <v>0</v>
      </c>
      <c r="BR38" s="12"/>
      <c r="BS38" s="12"/>
      <c r="BT38" s="12"/>
      <c r="BU38" s="12"/>
      <c r="BV38" s="12"/>
      <c r="BW38" s="12"/>
      <c r="BX38" s="32" t="s">
        <v>8</v>
      </c>
      <c r="BY38" s="45">
        <f>K40</f>
        <v>0</v>
      </c>
      <c r="BZ38" s="45">
        <f t="shared" ref="BZ38:CB40" si="27">BY38</f>
        <v>0</v>
      </c>
      <c r="CA38" s="45">
        <f t="shared" si="27"/>
        <v>0</v>
      </c>
      <c r="CB38" s="45">
        <f t="shared" si="27"/>
        <v>0</v>
      </c>
      <c r="CC38" s="713">
        <f>CB38</f>
        <v>0</v>
      </c>
      <c r="CD38" s="4"/>
      <c r="CE38" s="4"/>
      <c r="CF38" s="4"/>
      <c r="CG38" s="4"/>
      <c r="CH38" s="4"/>
      <c r="CI38" s="13"/>
      <c r="CK38" s="341"/>
      <c r="CL38" s="338" t="s">
        <v>193</v>
      </c>
      <c r="CM38" s="339">
        <f t="shared" si="20"/>
        <v>1192</v>
      </c>
      <c r="CN38" s="340"/>
      <c r="CO38" s="301"/>
      <c r="CP38" s="294"/>
      <c r="CQ38" s="294"/>
      <c r="CR38" s="311"/>
    </row>
    <row r="39" spans="1:96" ht="18" customHeight="1">
      <c r="A39" s="165"/>
      <c r="B39" s="12"/>
      <c r="C39" s="50"/>
      <c r="D39" s="12"/>
      <c r="E39" s="12"/>
      <c r="F39" s="12"/>
      <c r="G39" s="12"/>
      <c r="H39" s="91"/>
      <c r="I39" s="75"/>
      <c r="J39" s="75"/>
      <c r="K39" s="92"/>
      <c r="L39" s="75"/>
      <c r="M39" s="93"/>
      <c r="N39" s="714" t="str">
        <f>IF(入力画面!E22=1,"未就学児",0)</f>
        <v>未就学児</v>
      </c>
      <c r="O39" s="42">
        <f>IF(H40=0,0,$D$5)</f>
        <v>0</v>
      </c>
      <c r="P39" s="466">
        <f>IF(O40=0,0,"軽減額")</f>
        <v>0</v>
      </c>
      <c r="Q39" s="12"/>
      <c r="R39" s="95"/>
      <c r="S39" s="49"/>
      <c r="T39" s="96" t="s">
        <v>31</v>
      </c>
      <c r="U39" s="105">
        <f>ROUNDDOWN(U38,-2)</f>
        <v>0</v>
      </c>
      <c r="V39" s="88" t="s">
        <v>6</v>
      </c>
      <c r="W39" s="30" t="s">
        <v>43</v>
      </c>
      <c r="X39" s="29">
        <f t="shared" si="21"/>
        <v>0</v>
      </c>
      <c r="Y39" s="30" t="s">
        <v>42</v>
      </c>
      <c r="Z39" s="31">
        <f>IF($AH$13&gt;0,0,BB39)</f>
        <v>0</v>
      </c>
      <c r="AA39" s="73"/>
      <c r="AB39" s="73"/>
      <c r="AC39" s="225"/>
      <c r="AD39" s="73"/>
      <c r="AE39" s="500" t="str">
        <f>IF($AH$13&gt;0,"－",IF($AG$2&gt;0,"限度超過",IF(U40=Z40,"OK","ｱﾝﾏｯﾁ")))</f>
        <v>OK</v>
      </c>
      <c r="AF39" s="499"/>
      <c r="AG39" s="73"/>
      <c r="AI39" s="175"/>
      <c r="AJ39" s="175"/>
      <c r="AK39" s="175"/>
      <c r="AL39" s="175"/>
      <c r="AM39" s="175"/>
      <c r="AN39" s="174"/>
      <c r="AO39" s="328" t="s">
        <v>43</v>
      </c>
      <c r="AP39" s="326">
        <f>ROUNDDOWN(AR40/10,-2)</f>
        <v>0</v>
      </c>
      <c r="AQ39" s="327" t="s">
        <v>42</v>
      </c>
      <c r="AR39" s="358">
        <f>ROUNDDOWN(AR40/10,-2)</f>
        <v>0</v>
      </c>
      <c r="AS39" s="175"/>
      <c r="AT39" s="316" t="s">
        <v>43</v>
      </c>
      <c r="AU39" s="377">
        <f t="shared" si="22"/>
        <v>0</v>
      </c>
      <c r="AV39" s="314" t="s">
        <v>42</v>
      </c>
      <c r="AW39" s="378">
        <f>IF($AG$2&gt;0,"限度超過",AR39-BB128-BB217)</f>
        <v>0</v>
      </c>
      <c r="AX39" s="379"/>
      <c r="AY39" s="409" t="s">
        <v>43</v>
      </c>
      <c r="AZ39" s="313">
        <f t="shared" si="23"/>
        <v>0</v>
      </c>
      <c r="BA39" s="314" t="s">
        <v>42</v>
      </c>
      <c r="BB39" s="408">
        <f>AW39</f>
        <v>0</v>
      </c>
      <c r="BC39" s="379"/>
      <c r="BD39" s="451" t="s">
        <v>43</v>
      </c>
      <c r="BE39" s="81">
        <f t="shared" si="24"/>
        <v>0</v>
      </c>
      <c r="BF39" s="82" t="s">
        <v>42</v>
      </c>
      <c r="BG39" s="29">
        <f>BG29</f>
        <v>0</v>
      </c>
      <c r="BH39" s="12"/>
      <c r="BI39" s="30" t="s">
        <v>43</v>
      </c>
      <c r="BJ39" s="29">
        <f t="shared" si="25"/>
        <v>0</v>
      </c>
      <c r="BK39" s="30" t="s">
        <v>42</v>
      </c>
      <c r="BL39" s="29">
        <f>IF($A$87=$L$87,"限度超過",IF(BG39=0,0,BG39/$S$5))</f>
        <v>0</v>
      </c>
      <c r="BM39" s="12"/>
      <c r="BN39" s="30" t="s">
        <v>43</v>
      </c>
      <c r="BO39" s="29">
        <f t="shared" si="26"/>
        <v>0</v>
      </c>
      <c r="BP39" s="30" t="s">
        <v>42</v>
      </c>
      <c r="BQ39" s="460">
        <f>IF($A$87=$L$87,"限度超過",IF($S$5&lt;=2,0,BL39))</f>
        <v>0</v>
      </c>
      <c r="BR39" s="12"/>
      <c r="BS39" s="12"/>
      <c r="BT39" s="12"/>
      <c r="BU39" s="12"/>
      <c r="BV39" s="12"/>
      <c r="BW39" s="12"/>
      <c r="BX39" s="32" t="s">
        <v>25</v>
      </c>
      <c r="BY39" s="45">
        <f>K41</f>
        <v>0</v>
      </c>
      <c r="BZ39" s="45">
        <f t="shared" si="27"/>
        <v>0</v>
      </c>
      <c r="CA39" s="45">
        <f t="shared" si="27"/>
        <v>0</v>
      </c>
      <c r="CB39" s="45">
        <f t="shared" si="27"/>
        <v>0</v>
      </c>
      <c r="CC39" s="713">
        <f>CB39</f>
        <v>0</v>
      </c>
      <c r="CD39" s="4"/>
      <c r="CE39" s="4"/>
      <c r="CF39" s="4"/>
      <c r="CG39" s="4"/>
      <c r="CH39" s="4"/>
      <c r="CI39" s="13"/>
      <c r="CK39" s="341"/>
      <c r="CL39" s="338" t="s">
        <v>194</v>
      </c>
      <c r="CM39" s="339">
        <f t="shared" si="20"/>
        <v>1192</v>
      </c>
      <c r="CN39" s="340"/>
      <c r="CO39" s="301"/>
      <c r="CP39" s="294"/>
      <c r="CQ39" s="294"/>
      <c r="CR39" s="311"/>
    </row>
    <row r="40" spans="1:96" ht="18" customHeight="1">
      <c r="A40" s="1421" t="s">
        <v>10</v>
      </c>
      <c r="B40" s="12"/>
      <c r="C40" s="12"/>
      <c r="D40" s="1419" t="s">
        <v>7</v>
      </c>
      <c r="E40" s="1416">
        <f>IF(H40&gt;0,$CE$8,0)</f>
        <v>0</v>
      </c>
      <c r="F40" s="97"/>
      <c r="G40" s="855" t="s">
        <v>59</v>
      </c>
      <c r="H40" s="1413">
        <f>IF(B35=0,0,SUBTOTAL(3,B35))</f>
        <v>0</v>
      </c>
      <c r="I40" s="1277" t="s">
        <v>22</v>
      </c>
      <c r="J40" s="855" t="s">
        <v>59</v>
      </c>
      <c r="K40" s="51">
        <f>IF(H40&gt;0,K37,0)</f>
        <v>0</v>
      </c>
      <c r="L40" s="52" t="s">
        <v>5</v>
      </c>
      <c r="M40" s="1407" t="s">
        <v>122</v>
      </c>
      <c r="N40" s="1402">
        <f>IF(O40=0,0,"―")</f>
        <v>0</v>
      </c>
      <c r="O40" s="1404">
        <f>IF(H40=0,0,IF(BY42=0,IF($D$5=7,BZ41,IF($D$5=5,CA41,IF($D$5=2,CB41,CC41))),IF($D$5=7,BZ41+BZ42,IF($D$5=5,CA41+CA42,IF($D$5=2,CB41+CB42,CC41+CC42)))))</f>
        <v>0</v>
      </c>
      <c r="P40" s="1405"/>
      <c r="Q40" s="1377" t="s">
        <v>130</v>
      </c>
      <c r="R40" s="1403">
        <f>IF(H40&gt;0,IF(K37=0,0,ROUNDDOWN(((E40*H40)*K40/K41)-O40,0)),0)</f>
        <v>0</v>
      </c>
      <c r="S40" s="1381" t="s">
        <v>6</v>
      </c>
      <c r="T40" s="1388" t="s">
        <v>32</v>
      </c>
      <c r="U40" s="1387">
        <f>IF($L$87=$A$87,"限度超過!",U38)</f>
        <v>0</v>
      </c>
      <c r="V40" s="1389" t="s">
        <v>6</v>
      </c>
      <c r="W40" s="30" t="s">
        <v>37</v>
      </c>
      <c r="X40" s="29">
        <f t="shared" si="21"/>
        <v>0</v>
      </c>
      <c r="Y40" s="1199" t="s">
        <v>44</v>
      </c>
      <c r="Z40" s="1394">
        <f>IF($AH$13&gt;0,0,BB40)</f>
        <v>0</v>
      </c>
      <c r="AA40" s="26"/>
      <c r="AB40" s="26"/>
      <c r="AC40" s="494"/>
      <c r="AD40" s="26"/>
      <c r="AE40" s="500" t="str">
        <f>IF($AG$2&gt;0,"限度超過",IF(X36+X37+X38+X39+X40+X41+Z36+Z37+Z38+Z39=Z40,"OK","エラー"))</f>
        <v>OK</v>
      </c>
      <c r="AF40" s="1361">
        <f>IF(H40&gt;0,IF(K37=0,0,ROUNDDOWN((E40*H40)-O40,0)),0)</f>
        <v>0</v>
      </c>
      <c r="AG40" s="26"/>
      <c r="AI40" s="173"/>
      <c r="AJ40" s="179"/>
      <c r="AK40" s="179"/>
      <c r="AL40" s="179"/>
      <c r="AM40" s="179"/>
      <c r="AN40" s="174"/>
      <c r="AO40" s="328" t="s">
        <v>37</v>
      </c>
      <c r="AP40" s="326">
        <f>ROUNDDOWN(AR40/10,-2)</f>
        <v>0</v>
      </c>
      <c r="AQ40" s="329" t="s">
        <v>44</v>
      </c>
      <c r="AR40" s="330">
        <f>IF($AG$2&gt;0,0,IF($AH$13&gt;0,0,U40+U129+U218))</f>
        <v>0</v>
      </c>
      <c r="AS40" s="179"/>
      <c r="AT40" s="316" t="s">
        <v>37</v>
      </c>
      <c r="AU40" s="377">
        <f t="shared" si="22"/>
        <v>0</v>
      </c>
      <c r="AV40" s="317" t="s">
        <v>44</v>
      </c>
      <c r="AW40" s="315">
        <f>IF($AG$2&gt;0,"限度超過",AU36+AU37+AU38+AU39+AU40+AU41+AW36+AW37+AW38+AW39)</f>
        <v>0</v>
      </c>
      <c r="AX40" s="379"/>
      <c r="AY40" s="409" t="s">
        <v>37</v>
      </c>
      <c r="AZ40" s="313">
        <f t="shared" si="23"/>
        <v>0</v>
      </c>
      <c r="BA40" s="317" t="s">
        <v>44</v>
      </c>
      <c r="BB40" s="408">
        <f>AW40</f>
        <v>0</v>
      </c>
      <c r="BC40" s="379"/>
      <c r="BD40" s="451" t="s">
        <v>37</v>
      </c>
      <c r="BE40" s="81">
        <f t="shared" si="24"/>
        <v>0</v>
      </c>
      <c r="BF40" s="443" t="s">
        <v>44</v>
      </c>
      <c r="BG40" s="29">
        <f>IF($A$87=$L$87,"限度超過",BE36+BE37+BE38+BE39+BE40+BE41+BG36+BG37+BG38+BG39)</f>
        <v>0</v>
      </c>
      <c r="BH40" s="12"/>
      <c r="BI40" s="30" t="s">
        <v>37</v>
      </c>
      <c r="BJ40" s="29">
        <f t="shared" si="25"/>
        <v>0</v>
      </c>
      <c r="BK40" s="98" t="s">
        <v>44</v>
      </c>
      <c r="BL40" s="29">
        <f>IF($A$87=$L$87,"限度超過",BJ36+BJ37+BJ38+BJ39+BJ40+BJ41+BL36+BL37+BL38+BL39)</f>
        <v>0</v>
      </c>
      <c r="BM40" s="12"/>
      <c r="BN40" s="30" t="s">
        <v>37</v>
      </c>
      <c r="BO40" s="29">
        <f t="shared" si="26"/>
        <v>0</v>
      </c>
      <c r="BP40" s="98" t="s">
        <v>44</v>
      </c>
      <c r="BQ40" s="460">
        <f>IF($A$87=$L$87,"限度超過",BO36+BO37+BO38+BO39+BO40+BO41+BQ36+BQ37+BQ38+BQ39)</f>
        <v>0</v>
      </c>
      <c r="BR40" s="12"/>
      <c r="BS40" s="12"/>
      <c r="BT40" s="12"/>
      <c r="BU40" s="12"/>
      <c r="BV40" s="12"/>
      <c r="BW40" s="12"/>
      <c r="BX40" s="32" t="s">
        <v>26</v>
      </c>
      <c r="BY40" s="26">
        <f>H40</f>
        <v>0</v>
      </c>
      <c r="BZ40" s="99">
        <f t="shared" si="27"/>
        <v>0</v>
      </c>
      <c r="CA40" s="99">
        <f t="shared" si="27"/>
        <v>0</v>
      </c>
      <c r="CB40" s="99">
        <f t="shared" si="27"/>
        <v>0</v>
      </c>
      <c r="CC40" s="713">
        <f>CB40</f>
        <v>0</v>
      </c>
      <c r="CD40" s="4"/>
      <c r="CE40" s="4"/>
      <c r="CF40" s="4"/>
      <c r="CG40" s="4"/>
      <c r="CH40" s="4"/>
      <c r="CI40" s="13"/>
      <c r="CK40" s="341"/>
      <c r="CL40" s="338" t="s">
        <v>195</v>
      </c>
      <c r="CM40" s="339">
        <f t="shared" si="20"/>
        <v>1192</v>
      </c>
      <c r="CN40" s="340"/>
      <c r="CO40" s="301"/>
      <c r="CP40" s="294"/>
      <c r="CQ40" s="294"/>
      <c r="CR40" s="311"/>
    </row>
    <row r="41" spans="1:96" ht="18" customHeight="1">
      <c r="A41" s="1421"/>
      <c r="B41" s="12"/>
      <c r="C41" s="12"/>
      <c r="D41" s="1419"/>
      <c r="E41" s="1416"/>
      <c r="F41" s="12"/>
      <c r="G41" s="855"/>
      <c r="H41" s="1413"/>
      <c r="I41" s="1277"/>
      <c r="J41" s="855"/>
      <c r="K41" s="180">
        <f>IF(H40&gt;0,K38,0)</f>
        <v>0</v>
      </c>
      <c r="L41" s="12" t="s">
        <v>5</v>
      </c>
      <c r="M41" s="1407"/>
      <c r="N41" s="1402"/>
      <c r="O41" s="1405"/>
      <c r="P41" s="1405"/>
      <c r="Q41" s="1377"/>
      <c r="R41" s="1403"/>
      <c r="S41" s="1381"/>
      <c r="T41" s="1388"/>
      <c r="U41" s="1387"/>
      <c r="V41" s="1389"/>
      <c r="W41" s="30" t="s">
        <v>38</v>
      </c>
      <c r="X41" s="29">
        <f t="shared" si="21"/>
        <v>0</v>
      </c>
      <c r="Y41" s="1368"/>
      <c r="Z41" s="1395"/>
      <c r="AA41" s="26"/>
      <c r="AB41" s="26"/>
      <c r="AC41" s="494"/>
      <c r="AD41" s="26"/>
      <c r="AE41" s="489"/>
      <c r="AF41" s="1360"/>
      <c r="AG41" s="26"/>
      <c r="AH41" s="26"/>
      <c r="AI41" s="173"/>
      <c r="AJ41" s="179"/>
      <c r="AK41" s="179"/>
      <c r="AL41" s="179"/>
      <c r="AM41" s="179"/>
      <c r="AN41" s="175"/>
      <c r="AO41" s="328" t="s">
        <v>38</v>
      </c>
      <c r="AP41" s="326">
        <f>ROUNDDOWN(AR40/10,-2)</f>
        <v>0</v>
      </c>
      <c r="AQ41" s="327"/>
      <c r="AR41" s="331"/>
      <c r="AS41" s="179"/>
      <c r="AT41" s="316" t="s">
        <v>38</v>
      </c>
      <c r="AU41" s="377">
        <f t="shared" si="22"/>
        <v>0</v>
      </c>
      <c r="AV41" s="314" t="s">
        <v>75</v>
      </c>
      <c r="AW41" s="332">
        <f>IF($AG$2&gt;0,"限度超過",U40)</f>
        <v>0</v>
      </c>
      <c r="AX41" s="379"/>
      <c r="AY41" s="409" t="s">
        <v>38</v>
      </c>
      <c r="AZ41" s="313">
        <f t="shared" si="23"/>
        <v>0</v>
      </c>
      <c r="BA41" s="314"/>
      <c r="BB41" s="410"/>
      <c r="BC41" s="379"/>
      <c r="BD41" s="451" t="s">
        <v>38</v>
      </c>
      <c r="BE41" s="81">
        <f t="shared" si="24"/>
        <v>0</v>
      </c>
      <c r="BF41" s="82"/>
      <c r="BG41" s="100"/>
      <c r="BH41" s="12"/>
      <c r="BI41" s="30" t="s">
        <v>38</v>
      </c>
      <c r="BJ41" s="29">
        <f t="shared" si="25"/>
        <v>0</v>
      </c>
      <c r="BK41" s="30"/>
      <c r="BL41" s="100"/>
      <c r="BM41" s="12"/>
      <c r="BN41" s="30" t="s">
        <v>38</v>
      </c>
      <c r="BO41" s="29">
        <f t="shared" si="26"/>
        <v>0</v>
      </c>
      <c r="BP41" s="30"/>
      <c r="BQ41" s="461"/>
      <c r="BR41" s="12"/>
      <c r="BS41" s="12"/>
      <c r="BT41" s="12"/>
      <c r="BU41" s="12"/>
      <c r="BV41" s="12"/>
      <c r="BW41" s="12"/>
      <c r="BX41" s="67" t="s">
        <v>27</v>
      </c>
      <c r="BY41" s="45">
        <f>IF(BY40&gt;0,ROUNDDOWN(BY37*BY40*BY38/BY39,0),0)</f>
        <v>0</v>
      </c>
      <c r="BZ41" s="45">
        <f>IF(BZ40&gt;0,ROUNDDOWN(BZ37*BZ40*BZ38/BZ39,0),0)</f>
        <v>0</v>
      </c>
      <c r="CA41" s="45">
        <f>IF(CA40&gt;0,ROUNDDOWN(CA37*CA40*CA38/CA39,0),0)</f>
        <v>0</v>
      </c>
      <c r="CB41" s="45">
        <f>IF(CB40&gt;0,ROUNDDOWN(CB37*CB40*CB38/CB39,0),0)</f>
        <v>0</v>
      </c>
      <c r="CC41" s="713">
        <v>0</v>
      </c>
      <c r="CD41" s="4"/>
      <c r="CE41" s="4"/>
      <c r="CF41" s="4"/>
      <c r="CG41" s="4"/>
      <c r="CH41" s="4"/>
      <c r="CI41" s="13"/>
      <c r="CK41" s="341"/>
      <c r="CL41" s="338"/>
      <c r="CM41" s="342" t="s">
        <v>208</v>
      </c>
      <c r="CN41" s="340"/>
      <c r="CO41" s="301"/>
      <c r="CP41" s="294"/>
      <c r="CQ41" s="294"/>
      <c r="CR41" s="311"/>
    </row>
    <row r="42" spans="1:96" ht="18" customHeight="1">
      <c r="A42" s="202"/>
      <c r="B42" s="75" t="s">
        <v>118</v>
      </c>
      <c r="C42" s="12"/>
      <c r="D42" s="160"/>
      <c r="E42" s="161"/>
      <c r="F42" s="12"/>
      <c r="G42" s="50"/>
      <c r="H42" s="162"/>
      <c r="I42" s="159"/>
      <c r="J42" s="50"/>
      <c r="K42" s="180"/>
      <c r="L42" s="12"/>
      <c r="M42" s="86"/>
      <c r="N42" s="86"/>
      <c r="O42" s="181"/>
      <c r="P42" s="181"/>
      <c r="Q42" s="156"/>
      <c r="R42" s="157"/>
      <c r="S42" s="49"/>
      <c r="T42" s="50"/>
      <c r="U42" s="182"/>
      <c r="V42" s="50"/>
      <c r="W42" s="4"/>
      <c r="X42" s="26"/>
      <c r="Y42" s="170"/>
      <c r="Z42" s="187"/>
      <c r="AA42" s="26"/>
      <c r="AB42" s="26"/>
      <c r="AC42" s="494"/>
      <c r="AD42" s="26"/>
      <c r="AE42" s="489"/>
      <c r="AF42" s="236"/>
      <c r="AG42" s="26"/>
      <c r="AH42" s="26"/>
      <c r="AI42" s="173"/>
      <c r="AJ42" s="173"/>
      <c r="AK42" s="173"/>
      <c r="AL42" s="173"/>
      <c r="AM42" s="173"/>
      <c r="AN42" s="173"/>
      <c r="AO42" s="486"/>
      <c r="AP42" s="486"/>
      <c r="AQ42" s="487"/>
      <c r="AR42" s="487"/>
      <c r="AS42" s="173"/>
      <c r="AT42" s="381"/>
      <c r="AU42" s="472">
        <f>IF($AG$2&gt;0,"限度超過",0)</f>
        <v>0</v>
      </c>
      <c r="AV42" s="380"/>
      <c r="AW42" s="382" t="str">
        <f>IF(AW40=AW41,"OK","エラー")</f>
        <v>OK</v>
      </c>
      <c r="AX42" s="379"/>
      <c r="AY42" s="411"/>
      <c r="AZ42" s="320"/>
      <c r="BA42" s="319"/>
      <c r="BB42" s="412"/>
      <c r="BC42" s="379"/>
      <c r="BD42" s="452"/>
      <c r="BE42" s="26"/>
      <c r="BF42" s="4" t="s">
        <v>260</v>
      </c>
      <c r="BH42" s="12"/>
      <c r="BJ42" s="26"/>
      <c r="BM42" s="12"/>
      <c r="BO42" s="26"/>
      <c r="BQ42" s="462"/>
      <c r="BR42" s="12"/>
      <c r="BS42" s="12"/>
      <c r="BT42" s="12"/>
      <c r="BU42" s="12"/>
      <c r="BV42" s="12"/>
      <c r="BW42" s="12"/>
      <c r="BX42" s="32" t="s">
        <v>468</v>
      </c>
      <c r="BY42" s="713">
        <f>IF(入力画面!E22=1,1,0)</f>
        <v>1</v>
      </c>
      <c r="BZ42" s="713" t="e">
        <f>IF($BY$42=1,ROUNDDOWN(CF12*BZ38/BZ39,0),0)</f>
        <v>#DIV/0!</v>
      </c>
      <c r="CA42" s="713" t="e">
        <f>IF($BY$42=1,ROUNDDOWN(CG12*CA38/CA39,0),0)</f>
        <v>#DIV/0!</v>
      </c>
      <c r="CB42" s="713" t="e">
        <f>IF($BY$42=1,ROUNDDOWN(CH12*CB38/CB39,0),0)</f>
        <v>#DIV/0!</v>
      </c>
      <c r="CC42" s="713" t="e">
        <f>IF($BY$42=1,ROUNDDOWN(CE12*CC38/CC39,0),0)</f>
        <v>#DIV/0!</v>
      </c>
      <c r="CD42" s="4"/>
      <c r="CE42" s="4"/>
      <c r="CF42" s="4"/>
      <c r="CG42" s="4"/>
      <c r="CH42" s="4"/>
      <c r="CI42" s="13"/>
      <c r="CK42" s="341"/>
      <c r="CL42" s="338" t="s">
        <v>117</v>
      </c>
      <c r="CM42" s="339">
        <f>SUM(CM31:CM40)</f>
        <v>12000</v>
      </c>
      <c r="CN42" s="340"/>
      <c r="CO42" s="301"/>
      <c r="CP42" s="294"/>
      <c r="CQ42" s="294"/>
      <c r="CR42" s="311"/>
    </row>
    <row r="43" spans="1:96" ht="18" customHeight="1">
      <c r="A43" s="58" t="s">
        <v>1</v>
      </c>
      <c r="B43" s="52"/>
      <c r="C43" s="189">
        <f>IF(H40&gt;0,$X$13,0)</f>
        <v>0</v>
      </c>
      <c r="D43" s="203" t="s">
        <v>6</v>
      </c>
      <c r="E43" s="60" t="s">
        <v>131</v>
      </c>
      <c r="F43" s="1204">
        <f>K37</f>
        <v>0</v>
      </c>
      <c r="G43" s="1204"/>
      <c r="H43" s="216" t="s">
        <v>5</v>
      </c>
      <c r="I43" s="1451" t="s">
        <v>14</v>
      </c>
      <c r="J43" s="1451"/>
      <c r="K43" s="1204">
        <f>C43*F43</f>
        <v>0</v>
      </c>
      <c r="L43" s="1204"/>
      <c r="M43" s="204" t="s">
        <v>6</v>
      </c>
      <c r="N43" s="204"/>
      <c r="O43" s="205"/>
      <c r="P43" s="205"/>
      <c r="Q43" s="63"/>
      <c r="R43" s="206"/>
      <c r="S43" s="59"/>
      <c r="T43" s="27"/>
      <c r="U43" s="207"/>
      <c r="V43" s="27"/>
      <c r="W43" s="188"/>
      <c r="X43" s="189"/>
      <c r="Y43" s="208"/>
      <c r="Z43" s="163"/>
      <c r="AA43" s="26"/>
      <c r="AB43" s="26"/>
      <c r="AC43" s="494"/>
      <c r="AD43" s="26"/>
      <c r="AE43" s="489"/>
      <c r="AF43" s="237"/>
      <c r="AG43" s="26"/>
      <c r="AH43" s="26"/>
      <c r="AI43" s="173"/>
      <c r="AJ43" s="173"/>
      <c r="AK43" s="173"/>
      <c r="AL43" s="173"/>
      <c r="AM43" s="173"/>
      <c r="AN43" s="173"/>
      <c r="AO43" s="1322" t="s">
        <v>253</v>
      </c>
      <c r="AP43" s="1322"/>
      <c r="AQ43" s="487"/>
      <c r="AR43" s="487"/>
      <c r="AS43" s="173"/>
      <c r="AT43" s="1306" t="s">
        <v>246</v>
      </c>
      <c r="AU43" s="1306"/>
      <c r="AV43" s="385"/>
      <c r="AW43" s="385"/>
      <c r="AX43" s="379"/>
      <c r="AY43" s="1307" t="s">
        <v>246</v>
      </c>
      <c r="AZ43" s="1306"/>
      <c r="BA43" s="319"/>
      <c r="BB43" s="412"/>
      <c r="BC43" s="379"/>
      <c r="BD43" s="452"/>
      <c r="BE43" s="26"/>
      <c r="BF43" s="4" t="s">
        <v>261</v>
      </c>
      <c r="BH43" s="12"/>
      <c r="BJ43" s="26"/>
      <c r="BM43" s="12"/>
      <c r="BO43" s="26"/>
      <c r="BQ43" s="462"/>
      <c r="BR43" s="12"/>
      <c r="BS43" s="12"/>
      <c r="BT43" s="12"/>
      <c r="BU43" s="12"/>
      <c r="BV43" s="12"/>
      <c r="BW43" s="12"/>
      <c r="BX43" s="4"/>
      <c r="BY43" s="26"/>
      <c r="BZ43" s="26"/>
      <c r="CA43" s="26"/>
      <c r="CB43" s="26"/>
      <c r="CC43" s="4"/>
      <c r="CD43" s="4"/>
      <c r="CE43" s="4"/>
      <c r="CF43" s="4"/>
      <c r="CG43" s="4"/>
      <c r="CH43" s="4"/>
      <c r="CI43" s="13"/>
      <c r="CK43" s="343"/>
      <c r="CL43" s="344"/>
      <c r="CM43" s="345"/>
      <c r="CN43" s="335"/>
      <c r="CO43" s="301"/>
      <c r="CP43" s="294"/>
      <c r="CQ43" s="294"/>
      <c r="CR43" s="311"/>
    </row>
    <row r="44" spans="1:96" ht="18" customHeight="1">
      <c r="D44" s="101"/>
      <c r="E44" s="70"/>
      <c r="G44" s="9"/>
      <c r="H44" s="102"/>
      <c r="I44" s="5"/>
      <c r="J44" s="9"/>
      <c r="K44" s="18"/>
      <c r="M44" s="103"/>
      <c r="P44" s="103"/>
      <c r="Q44" s="70"/>
      <c r="R44" s="104"/>
      <c r="S44" s="68"/>
      <c r="T44" s="68"/>
      <c r="U44" s="68"/>
      <c r="V44" s="18"/>
      <c r="AA44" s="4"/>
      <c r="AB44" s="4"/>
      <c r="AC44" s="492"/>
      <c r="AD44" s="4"/>
      <c r="AE44" s="74"/>
      <c r="AF44" s="233"/>
      <c r="AG44" s="4"/>
      <c r="AH44" s="4"/>
      <c r="AI44" s="174"/>
      <c r="AJ44" s="174"/>
      <c r="AK44" s="174"/>
      <c r="AL44" s="174"/>
      <c r="AM44" s="174"/>
      <c r="AN44" s="173"/>
      <c r="AO44" s="324" t="s">
        <v>54</v>
      </c>
      <c r="AP44" s="346" t="s">
        <v>214</v>
      </c>
      <c r="AQ44" s="1323" t="s">
        <v>213</v>
      </c>
      <c r="AR44" s="1323"/>
      <c r="AS44" s="174"/>
      <c r="AT44" s="1310" t="s">
        <v>242</v>
      </c>
      <c r="AU44" s="1310"/>
      <c r="AV44" s="1310"/>
      <c r="AW44" s="1310"/>
      <c r="AX44" s="379"/>
      <c r="AY44" s="406" t="s">
        <v>257</v>
      </c>
      <c r="AZ44" s="1308" t="s">
        <v>258</v>
      </c>
      <c r="BA44" s="1308"/>
      <c r="BB44" s="1309"/>
      <c r="BC44" s="379"/>
      <c r="BD44" s="1267" t="s">
        <v>259</v>
      </c>
      <c r="BE44" s="1268"/>
      <c r="BF44" s="1268"/>
      <c r="BG44" s="1268"/>
      <c r="BH44" s="12"/>
      <c r="BI44" s="440" t="s">
        <v>262</v>
      </c>
      <c r="BJ44" s="1269" t="s">
        <v>263</v>
      </c>
      <c r="BK44" s="1269"/>
      <c r="BL44" s="1269"/>
      <c r="BM44" s="12"/>
      <c r="BO44" s="143" t="s">
        <v>126</v>
      </c>
      <c r="BP44" s="12" t="s">
        <v>88</v>
      </c>
      <c r="BQ44" s="449"/>
      <c r="BR44" s="12"/>
      <c r="BS44" s="12"/>
      <c r="BT44" s="12"/>
      <c r="BU44" s="12"/>
      <c r="BV44" s="12"/>
      <c r="BW44" s="12"/>
      <c r="BX44" s="4"/>
      <c r="BY44" s="4"/>
      <c r="BZ44" s="4"/>
      <c r="CA44" s="4"/>
      <c r="CB44" s="4"/>
      <c r="CC44" s="4"/>
      <c r="CD44" s="4"/>
      <c r="CE44" s="4"/>
      <c r="CF44" s="4"/>
      <c r="CG44" s="4"/>
      <c r="CH44" s="4"/>
      <c r="CI44" s="13"/>
      <c r="CM44" s="294"/>
      <c r="CN44" s="301"/>
      <c r="CO44" s="301"/>
      <c r="CP44" s="294"/>
      <c r="CQ44" s="294"/>
      <c r="CR44" s="311"/>
    </row>
    <row r="45" spans="1:96" ht="18" customHeight="1">
      <c r="A45" s="196" t="s">
        <v>54</v>
      </c>
      <c r="B45" s="1382">
        <f>入力画面!C27</f>
        <v>0</v>
      </c>
      <c r="C45" s="1382"/>
      <c r="D45" s="1382"/>
      <c r="E45" s="198" t="s">
        <v>11</v>
      </c>
      <c r="F45" s="1412" t="s">
        <v>57</v>
      </c>
      <c r="G45" s="1412"/>
      <c r="H45" s="1412"/>
      <c r="I45" s="1449">
        <f>IF(入力画面!I30&gt;0,1,0)</f>
        <v>0</v>
      </c>
      <c r="J45" s="1450"/>
      <c r="K45" s="1373">
        <f>IF(H50=0,0,IF($K$8=0, "加入月が未入力です!！",IF($L$87=$A$87,"限度超過額に達しているため計算不可能!!",IF(U47-U46=U48,"エラー名前を入力されているが加入月未入力!！",IF(H50&gt;K47,"加入月未入力エラー!！",0)))))</f>
        <v>0</v>
      </c>
      <c r="L45" s="1374"/>
      <c r="M45" s="1374"/>
      <c r="N45" s="1374"/>
      <c r="O45" s="1374"/>
      <c r="P45" s="1374"/>
      <c r="Q45" s="1374"/>
      <c r="R45" s="1374"/>
      <c r="S45" s="1375"/>
      <c r="T45" s="197" t="s">
        <v>47</v>
      </c>
      <c r="U45" s="1383">
        <f>IF(U50&gt;0,"医療分",0)</f>
        <v>0</v>
      </c>
      <c r="V45" s="1384"/>
      <c r="W45" s="1385" t="s">
        <v>46</v>
      </c>
      <c r="X45" s="1164"/>
      <c r="Y45" s="1164"/>
      <c r="Z45" s="1165"/>
      <c r="AB45" s="4"/>
      <c r="AC45" s="492"/>
      <c r="AD45" s="4"/>
      <c r="AE45" s="74"/>
      <c r="AF45" s="238" t="s">
        <v>117</v>
      </c>
      <c r="AG45" s="4"/>
      <c r="AH45" s="276">
        <f>IF(K47=0,0,IF(K47&lt;12,1,0))</f>
        <v>0</v>
      </c>
      <c r="AI45" s="174"/>
      <c r="AJ45" s="174"/>
      <c r="AK45" s="174"/>
      <c r="AL45" s="174"/>
      <c r="AM45" s="174"/>
      <c r="AN45" s="369" t="s">
        <v>147</v>
      </c>
      <c r="AO45" s="1324" t="s">
        <v>46</v>
      </c>
      <c r="AP45" s="1325"/>
      <c r="AQ45" s="1399">
        <f>IF(R47+R50=0,0,IF(K48&gt;K47,"期割がアンマッチ使用禁止↓",0))</f>
        <v>0</v>
      </c>
      <c r="AR45" s="1400"/>
      <c r="AS45" s="174"/>
      <c r="AT45" s="1311" t="s">
        <v>46</v>
      </c>
      <c r="AU45" s="1312"/>
      <c r="AV45" s="1313"/>
      <c r="AW45" s="1314"/>
      <c r="AX45" s="379"/>
      <c r="AY45" s="1319" t="s">
        <v>46</v>
      </c>
      <c r="AZ45" s="1312"/>
      <c r="BA45" s="1313">
        <f>IF($R$17+$R50=0,0,IF($K$18&gt;$K$17,"期割がアンマッチ使用禁止↓",0))</f>
        <v>0</v>
      </c>
      <c r="BB45" s="1346"/>
      <c r="BC45" s="379"/>
      <c r="BD45" s="1272" t="s">
        <v>46</v>
      </c>
      <c r="BE45" s="1273"/>
      <c r="BF45" s="1304" t="s">
        <v>87</v>
      </c>
      <c r="BG45" s="1305"/>
      <c r="BH45" s="12"/>
      <c r="BI45" s="1139" t="s">
        <v>46</v>
      </c>
      <c r="BJ45" s="1273"/>
      <c r="BK45" s="1270"/>
      <c r="BL45" s="1271"/>
      <c r="BM45" s="12"/>
      <c r="BN45" s="1139" t="s">
        <v>46</v>
      </c>
      <c r="BO45" s="1273"/>
      <c r="BP45" s="1270"/>
      <c r="BQ45" s="1278"/>
      <c r="BR45" s="12"/>
      <c r="BS45" s="12"/>
      <c r="BT45" s="12"/>
      <c r="BU45" s="12"/>
      <c r="BV45" s="12"/>
      <c r="BW45" s="12"/>
      <c r="BX45" s="4"/>
      <c r="BY45" s="4"/>
      <c r="BZ45" s="4"/>
      <c r="CA45" s="4"/>
      <c r="CB45" s="4"/>
      <c r="CC45" s="4"/>
      <c r="CD45" s="4"/>
      <c r="CE45" s="4"/>
      <c r="CF45" s="4"/>
      <c r="CG45" s="4"/>
      <c r="CH45" s="4"/>
      <c r="CI45" s="13"/>
      <c r="CK45" s="1352" t="s">
        <v>198</v>
      </c>
      <c r="CL45" s="1159" t="s">
        <v>197</v>
      </c>
      <c r="CM45" s="1333" t="s">
        <v>179</v>
      </c>
      <c r="CN45" s="295" t="s">
        <v>177</v>
      </c>
      <c r="CO45" s="1344" t="s">
        <v>216</v>
      </c>
      <c r="CP45" s="1342" t="s">
        <v>207</v>
      </c>
      <c r="CR45" s="311"/>
    </row>
    <row r="46" spans="1:96" ht="18" customHeight="1">
      <c r="A46" s="165"/>
      <c r="B46" s="12"/>
      <c r="C46" s="75" t="s">
        <v>33</v>
      </c>
      <c r="D46" s="12"/>
      <c r="E46" s="12"/>
      <c r="F46" s="12"/>
      <c r="G46" s="12"/>
      <c r="H46" s="50"/>
      <c r="I46" s="93"/>
      <c r="J46" s="12"/>
      <c r="K46" s="76" t="s">
        <v>9</v>
      </c>
      <c r="L46" s="12"/>
      <c r="M46" s="1414"/>
      <c r="N46" s="1414"/>
      <c r="O46" s="1414"/>
      <c r="P46" s="1414"/>
      <c r="Q46" s="1414"/>
      <c r="R46" s="1414"/>
      <c r="S46" s="1415"/>
      <c r="T46" s="72" t="s">
        <v>30</v>
      </c>
      <c r="U46" s="105">
        <f>R47+R50</f>
        <v>0</v>
      </c>
      <c r="V46" s="88" t="s">
        <v>6</v>
      </c>
      <c r="W46" s="80" t="s">
        <v>34</v>
      </c>
      <c r="X46" s="29">
        <f t="shared" ref="X46:X51" si="28">IF($AH$13&gt;0,0,AZ46)</f>
        <v>0</v>
      </c>
      <c r="Y46" s="80" t="s">
        <v>39</v>
      </c>
      <c r="Z46" s="31">
        <f>IF($AH$13&gt;0,0,BB46)</f>
        <v>0</v>
      </c>
      <c r="AA46" s="73"/>
      <c r="AB46" s="73"/>
      <c r="AC46" s="225"/>
      <c r="AD46" s="73"/>
      <c r="AE46" s="73"/>
      <c r="AF46" s="219">
        <f>AF47+AF50+AF53</f>
        <v>0</v>
      </c>
      <c r="AG46" s="73"/>
      <c r="AH46" s="191"/>
      <c r="AI46" s="175"/>
      <c r="AJ46" s="175"/>
      <c r="AK46" s="175"/>
      <c r="AL46" s="175"/>
      <c r="AM46" s="175"/>
      <c r="AN46" s="173"/>
      <c r="AO46" s="325" t="s">
        <v>34</v>
      </c>
      <c r="AP46" s="326">
        <f>AR50-(AP47+AP48+AP49+AP50+AP51+AR46+AR47+AR48+AR49)</f>
        <v>0</v>
      </c>
      <c r="AQ46" s="327" t="s">
        <v>39</v>
      </c>
      <c r="AR46" s="358">
        <f>ROUNDDOWN(AR50/10,-2)</f>
        <v>0</v>
      </c>
      <c r="AS46" s="175"/>
      <c r="AT46" s="316" t="s">
        <v>34</v>
      </c>
      <c r="AU46" s="377">
        <f t="shared" ref="AU46:AU51" si="29">IF($AG$2&gt;0,"限度超過",AP46-AZ135-AZ224)</f>
        <v>0</v>
      </c>
      <c r="AV46" s="314" t="s">
        <v>39</v>
      </c>
      <c r="AW46" s="378">
        <f>IF($AG$2&gt;0,"限度超過",AR46-BB135-BB224)</f>
        <v>0</v>
      </c>
      <c r="AX46" s="379"/>
      <c r="AY46" s="407" t="s">
        <v>34</v>
      </c>
      <c r="AZ46" s="313">
        <f t="shared" ref="AZ46:AZ51" si="30">AU46</f>
        <v>0</v>
      </c>
      <c r="BA46" s="314" t="s">
        <v>39</v>
      </c>
      <c r="BB46" s="408">
        <f>AW46</f>
        <v>0</v>
      </c>
      <c r="BC46" s="379"/>
      <c r="BD46" s="451" t="s">
        <v>34</v>
      </c>
      <c r="BE46" s="81">
        <f t="shared" ref="BE46:BE51" si="31">BE36</f>
        <v>0</v>
      </c>
      <c r="BF46" s="82" t="s">
        <v>39</v>
      </c>
      <c r="BG46" s="29">
        <f>BG36</f>
        <v>0</v>
      </c>
      <c r="BH46" s="12"/>
      <c r="BI46" s="80" t="s">
        <v>34</v>
      </c>
      <c r="BJ46" s="29">
        <f t="shared" ref="BJ46:BJ51" si="32">IF($A$87=$L$87,"限度超過",IF(BE46=0,0,BE46/$S$5))</f>
        <v>0</v>
      </c>
      <c r="BK46" s="80" t="s">
        <v>39</v>
      </c>
      <c r="BL46" s="29">
        <f>IF($A$87=$L$87,"限度超過",IF(BG46=0,0,BG46/$S$5))</f>
        <v>0</v>
      </c>
      <c r="BM46" s="12"/>
      <c r="BN46" s="30" t="s">
        <v>34</v>
      </c>
      <c r="BO46" s="29">
        <f t="shared" ref="BO46:BO51" si="33">IF($A$87=$L$87,"限度超過",IF($S$5&lt;=3,0,BJ46))</f>
        <v>0</v>
      </c>
      <c r="BP46" s="80" t="s">
        <v>39</v>
      </c>
      <c r="BQ46" s="460">
        <f>IF($A$87=$L$87,"限度超過",IF($S$5&lt;=3,0,BL46))</f>
        <v>0</v>
      </c>
      <c r="BR46" s="12"/>
      <c r="BS46" s="12"/>
      <c r="BT46" s="12"/>
      <c r="BU46" s="12"/>
      <c r="BV46" s="12"/>
      <c r="BW46" s="12"/>
      <c r="BX46" s="32"/>
      <c r="BY46" s="33" t="str">
        <f>BY36</f>
        <v>料率</v>
      </c>
      <c r="BZ46" s="33">
        <f>BZ36</f>
        <v>7</v>
      </c>
      <c r="CA46" s="33">
        <f>CA36</f>
        <v>5</v>
      </c>
      <c r="CB46" s="33">
        <f>CB36</f>
        <v>2</v>
      </c>
      <c r="CC46" s="713" t="s">
        <v>467</v>
      </c>
      <c r="CD46" s="4"/>
      <c r="CE46" s="4"/>
      <c r="CF46" s="4"/>
      <c r="CG46" s="4"/>
      <c r="CH46" s="4"/>
      <c r="CI46" s="13"/>
      <c r="CK46" s="1353"/>
      <c r="CL46" s="1160"/>
      <c r="CM46" s="1334"/>
      <c r="CN46" s="303" t="s">
        <v>182</v>
      </c>
      <c r="CO46" s="1345"/>
      <c r="CP46" s="1343"/>
      <c r="CR46" s="311"/>
    </row>
    <row r="47" spans="1:96" ht="18" customHeight="1">
      <c r="A47" s="1421" t="s">
        <v>0</v>
      </c>
      <c r="B47" s="1448" t="s">
        <v>129</v>
      </c>
      <c r="C47" s="1376">
        <f>入力画面!R29</f>
        <v>0</v>
      </c>
      <c r="D47" s="855" t="s">
        <v>58</v>
      </c>
      <c r="E47" s="1416">
        <f>IF(H50&gt;0,$CE$11, 0)</f>
        <v>0</v>
      </c>
      <c r="F47" s="1380" t="s">
        <v>22</v>
      </c>
      <c r="G47" s="855" t="s">
        <v>59</v>
      </c>
      <c r="H47" s="85">
        <f>IF(H50&gt;0,$CE$7,0)</f>
        <v>0</v>
      </c>
      <c r="I47" s="1277" t="s">
        <v>22</v>
      </c>
      <c r="J47" s="855" t="s">
        <v>59</v>
      </c>
      <c r="K47" s="51">
        <f>入力画面!I28</f>
        <v>0</v>
      </c>
      <c r="L47" s="52" t="s">
        <v>5</v>
      </c>
      <c r="M47" s="1380"/>
      <c r="N47" s="1407"/>
      <c r="O47" s="86"/>
      <c r="P47" s="1377" t="s">
        <v>130</v>
      </c>
      <c r="Q47" s="1377"/>
      <c r="R47" s="1403">
        <f>ROUNDDOWN(IF(((C47-E47)*H47/H48)*K47/K48&lt;0,0,((C47-E47)*H47/H48)*K47/K48),0)</f>
        <v>0</v>
      </c>
      <c r="S47" s="1408" t="s">
        <v>6</v>
      </c>
      <c r="T47" s="72" t="s">
        <v>1</v>
      </c>
      <c r="U47" s="105">
        <f>IF(H50=0,0,K53)</f>
        <v>0</v>
      </c>
      <c r="V47" s="88" t="s">
        <v>6</v>
      </c>
      <c r="W47" s="30" t="s">
        <v>35</v>
      </c>
      <c r="X47" s="29">
        <f t="shared" si="28"/>
        <v>0</v>
      </c>
      <c r="Y47" s="30" t="s">
        <v>40</v>
      </c>
      <c r="Z47" s="31">
        <f>IF($AH$13&gt;0,0,BB47)</f>
        <v>0</v>
      </c>
      <c r="AA47" s="26"/>
      <c r="AB47" s="26"/>
      <c r="AC47" s="494"/>
      <c r="AD47" s="26"/>
      <c r="AE47" s="489"/>
      <c r="AF47" s="1360">
        <f>ROUNDDOWN(IF(((C47-E47)*H47/H48)&lt;0,0,((C47-E47)*H47/H48)),0)</f>
        <v>0</v>
      </c>
      <c r="AG47" s="26"/>
      <c r="AH47" s="26"/>
      <c r="AI47" s="173"/>
      <c r="AJ47" s="179"/>
      <c r="AK47" s="179"/>
      <c r="AL47" s="179"/>
      <c r="AM47" s="179"/>
      <c r="AN47" s="174"/>
      <c r="AO47" s="328" t="s">
        <v>35</v>
      </c>
      <c r="AP47" s="326">
        <f>ROUNDDOWN(AR50/10,-2)</f>
        <v>0</v>
      </c>
      <c r="AQ47" s="327" t="s">
        <v>40</v>
      </c>
      <c r="AR47" s="358">
        <f>ROUNDDOWN(AR50/10,-2)</f>
        <v>0</v>
      </c>
      <c r="AS47" s="179"/>
      <c r="AT47" s="316" t="s">
        <v>35</v>
      </c>
      <c r="AU47" s="377">
        <f t="shared" si="29"/>
        <v>0</v>
      </c>
      <c r="AV47" s="314" t="s">
        <v>40</v>
      </c>
      <c r="AW47" s="378">
        <f>IF($AG$2&gt;0,"限度超過",AR47-BB136-BB225)</f>
        <v>0</v>
      </c>
      <c r="AX47" s="379"/>
      <c r="AY47" s="409" t="s">
        <v>35</v>
      </c>
      <c r="AZ47" s="313">
        <f t="shared" si="30"/>
        <v>0</v>
      </c>
      <c r="BA47" s="314" t="s">
        <v>40</v>
      </c>
      <c r="BB47" s="408">
        <f>AW47</f>
        <v>0</v>
      </c>
      <c r="BC47" s="379"/>
      <c r="BD47" s="451" t="s">
        <v>35</v>
      </c>
      <c r="BE47" s="81">
        <f t="shared" si="31"/>
        <v>0</v>
      </c>
      <c r="BF47" s="82" t="s">
        <v>40</v>
      </c>
      <c r="BG47" s="29">
        <f>BG37</f>
        <v>0</v>
      </c>
      <c r="BH47" s="12"/>
      <c r="BI47" s="30" t="s">
        <v>35</v>
      </c>
      <c r="BJ47" s="29">
        <f t="shared" si="32"/>
        <v>0</v>
      </c>
      <c r="BK47" s="30" t="s">
        <v>40</v>
      </c>
      <c r="BL47" s="29">
        <f>IF($A$87=$L$87,"限度超過",IF(BG47=0,0,BG47/$S$5))</f>
        <v>0</v>
      </c>
      <c r="BM47" s="12"/>
      <c r="BN47" s="30" t="s">
        <v>35</v>
      </c>
      <c r="BO47" s="29">
        <f t="shared" si="33"/>
        <v>0</v>
      </c>
      <c r="BP47" s="30" t="s">
        <v>40</v>
      </c>
      <c r="BQ47" s="460">
        <f>IF($A$87=$L$87,"限度超過",IF($S$5&lt;=3,0,BL47))</f>
        <v>0</v>
      </c>
      <c r="BR47" s="12"/>
      <c r="BS47" s="12"/>
      <c r="BT47" s="12"/>
      <c r="BU47" s="12"/>
      <c r="BV47" s="12"/>
      <c r="BW47" s="12"/>
      <c r="BX47" s="32" t="s">
        <v>17</v>
      </c>
      <c r="BY47" s="44">
        <v>0</v>
      </c>
      <c r="BZ47" s="45">
        <f>$CF$8</f>
        <v>18250</v>
      </c>
      <c r="CA47" s="45">
        <f>$CG$8</f>
        <v>13030</v>
      </c>
      <c r="CB47" s="45">
        <f>$CH$8</f>
        <v>5220</v>
      </c>
      <c r="CC47" s="713"/>
      <c r="CD47" s="4"/>
      <c r="CE47" s="4"/>
      <c r="CF47" s="4"/>
      <c r="CG47" s="4"/>
      <c r="CH47" s="4"/>
      <c r="CI47" s="13"/>
      <c r="CK47" s="1337" t="s">
        <v>196</v>
      </c>
      <c r="CL47" s="282" t="s">
        <v>204</v>
      </c>
      <c r="CM47" s="312">
        <f>L176</f>
        <v>4100</v>
      </c>
      <c r="CN47" s="290">
        <f>IF(CM14=0,0,ROUNDDOWN(CM47/(CM30+CM47),8))</f>
        <v>0.25465838000000002</v>
      </c>
      <c r="CO47" s="289" t="str">
        <f>IF(SUM(CO48:CO57)=CN59,"計算ＯＫ","エラー発生")</f>
        <v>計算ＯＫ</v>
      </c>
      <c r="CP47" s="287">
        <f>SUM(CP48:CP57)</f>
        <v>4100</v>
      </c>
      <c r="CQ47" s="115" t="str">
        <f>IF(CM47=CP47,"ＯＫ","エラー")</f>
        <v>ＯＫ</v>
      </c>
      <c r="CR47" s="311"/>
    </row>
    <row r="48" spans="1:96" ht="18" customHeight="1">
      <c r="A48" s="1421"/>
      <c r="B48" s="1448"/>
      <c r="C48" s="1376"/>
      <c r="D48" s="855"/>
      <c r="E48" s="1416"/>
      <c r="F48" s="1380"/>
      <c r="G48" s="855"/>
      <c r="H48" s="39">
        <v>100</v>
      </c>
      <c r="I48" s="1277"/>
      <c r="J48" s="855"/>
      <c r="K48" s="55">
        <v>12</v>
      </c>
      <c r="L48" s="12" t="s">
        <v>5</v>
      </c>
      <c r="M48" s="1380"/>
      <c r="N48" s="1407"/>
      <c r="O48" s="86"/>
      <c r="P48" s="1377"/>
      <c r="Q48" s="1377"/>
      <c r="R48" s="1403"/>
      <c r="S48" s="1408"/>
      <c r="T48" s="72" t="s">
        <v>29</v>
      </c>
      <c r="U48" s="105">
        <f>U46+U47</f>
        <v>0</v>
      </c>
      <c r="V48" s="88" t="s">
        <v>6</v>
      </c>
      <c r="W48" s="30" t="s">
        <v>36</v>
      </c>
      <c r="X48" s="29">
        <f t="shared" si="28"/>
        <v>0</v>
      </c>
      <c r="Y48" s="30" t="s">
        <v>41</v>
      </c>
      <c r="Z48" s="31">
        <f>IF($AH$13&gt;0,0,BB48)</f>
        <v>0</v>
      </c>
      <c r="AA48" s="26"/>
      <c r="AB48" s="26"/>
      <c r="AC48" s="494"/>
      <c r="AD48" s="26"/>
      <c r="AE48" s="489"/>
      <c r="AF48" s="1360"/>
      <c r="AG48" s="26"/>
      <c r="AH48" s="26"/>
      <c r="AI48" s="173"/>
      <c r="AJ48" s="179"/>
      <c r="AK48" s="179"/>
      <c r="AL48" s="179"/>
      <c r="AM48" s="179"/>
      <c r="AN48" s="174"/>
      <c r="AO48" s="328" t="s">
        <v>36</v>
      </c>
      <c r="AP48" s="326">
        <f>ROUNDDOWN(AR50/10,-2)</f>
        <v>0</v>
      </c>
      <c r="AQ48" s="327" t="s">
        <v>41</v>
      </c>
      <c r="AR48" s="358">
        <f>ROUNDDOWN(AR50/10,-2)</f>
        <v>0</v>
      </c>
      <c r="AS48" s="179"/>
      <c r="AT48" s="316" t="s">
        <v>36</v>
      </c>
      <c r="AU48" s="377">
        <f t="shared" si="29"/>
        <v>0</v>
      </c>
      <c r="AV48" s="314" t="s">
        <v>41</v>
      </c>
      <c r="AW48" s="378">
        <f>IF($AG$2&gt;0,"限度超過",AR48-BB137-BB226)</f>
        <v>0</v>
      </c>
      <c r="AX48" s="379"/>
      <c r="AY48" s="409" t="s">
        <v>36</v>
      </c>
      <c r="AZ48" s="313">
        <f t="shared" si="30"/>
        <v>0</v>
      </c>
      <c r="BA48" s="314" t="s">
        <v>41</v>
      </c>
      <c r="BB48" s="408">
        <f>AW48</f>
        <v>0</v>
      </c>
      <c r="BC48" s="379"/>
      <c r="BD48" s="451" t="s">
        <v>36</v>
      </c>
      <c r="BE48" s="81">
        <f t="shared" si="31"/>
        <v>0</v>
      </c>
      <c r="BF48" s="82" t="s">
        <v>41</v>
      </c>
      <c r="BG48" s="29">
        <f>BG38</f>
        <v>0</v>
      </c>
      <c r="BH48" s="12"/>
      <c r="BI48" s="30" t="s">
        <v>36</v>
      </c>
      <c r="BJ48" s="29">
        <f t="shared" si="32"/>
        <v>0</v>
      </c>
      <c r="BK48" s="30" t="s">
        <v>41</v>
      </c>
      <c r="BL48" s="29">
        <f>IF($A$87=$L$87,"限度超過",IF(BG48=0,0,BG48/$S$5))</f>
        <v>0</v>
      </c>
      <c r="BM48" s="12"/>
      <c r="BN48" s="30" t="s">
        <v>36</v>
      </c>
      <c r="BO48" s="29">
        <f t="shared" si="33"/>
        <v>0</v>
      </c>
      <c r="BP48" s="30" t="s">
        <v>41</v>
      </c>
      <c r="BQ48" s="460">
        <f>IF($A$87=$L$87,"限度超過",IF($S$5&lt;=3,0,BL48))</f>
        <v>0</v>
      </c>
      <c r="BR48" s="12"/>
      <c r="BS48" s="12"/>
      <c r="BT48" s="12"/>
      <c r="BU48" s="12"/>
      <c r="BV48" s="12"/>
      <c r="BW48" s="12"/>
      <c r="BX48" s="32" t="s">
        <v>8</v>
      </c>
      <c r="BY48" s="45">
        <f>K50</f>
        <v>0</v>
      </c>
      <c r="BZ48" s="45">
        <f t="shared" ref="BZ48:CB50" si="34">BY48</f>
        <v>0</v>
      </c>
      <c r="CA48" s="45">
        <f t="shared" si="34"/>
        <v>0</v>
      </c>
      <c r="CB48" s="45">
        <f t="shared" si="34"/>
        <v>0</v>
      </c>
      <c r="CC48" s="713">
        <f>CB48</f>
        <v>0</v>
      </c>
      <c r="CD48" s="4"/>
      <c r="CE48" s="4"/>
      <c r="CF48" s="4"/>
      <c r="CG48" s="4"/>
      <c r="CH48" s="4"/>
      <c r="CI48" s="13"/>
      <c r="CK48" s="1338"/>
      <c r="CL48" s="283" t="s">
        <v>186</v>
      </c>
      <c r="CM48" s="288">
        <f t="shared" ref="CM48:CM57" si="35">ROUND((CM15-CM66)*$CN$47,0)</f>
        <v>433</v>
      </c>
      <c r="CN48" s="304" t="s">
        <v>209</v>
      </c>
      <c r="CO48" s="288">
        <f>IF($CN$59=0,0,IF($CN$59&gt;=10,1,IF($CN$59&lt;=-10,-1,0)))</f>
        <v>0</v>
      </c>
      <c r="CP48" s="288">
        <f>CM48+CO48</f>
        <v>433</v>
      </c>
      <c r="CR48" s="56"/>
    </row>
    <row r="49" spans="1:96" ht="18" customHeight="1">
      <c r="A49" s="165"/>
      <c r="B49" s="12"/>
      <c r="C49" s="50"/>
      <c r="D49" s="12"/>
      <c r="E49" s="12"/>
      <c r="F49" s="12"/>
      <c r="G49" s="12"/>
      <c r="H49" s="91"/>
      <c r="I49" s="75"/>
      <c r="J49" s="75"/>
      <c r="K49" s="92"/>
      <c r="L49" s="75"/>
      <c r="M49" s="93"/>
      <c r="N49" s="714" t="str">
        <f>IF(入力画面!E27=1,"未就学児",0)</f>
        <v>未就学児</v>
      </c>
      <c r="O49" s="42">
        <f>IF(H50=0,0,$D$5)</f>
        <v>0</v>
      </c>
      <c r="P49" s="466">
        <f>IF(O50=0,0,"軽減額")</f>
        <v>0</v>
      </c>
      <c r="Q49" s="12"/>
      <c r="R49" s="95"/>
      <c r="S49" s="183"/>
      <c r="T49" s="96" t="s">
        <v>31</v>
      </c>
      <c r="U49" s="105">
        <f>ROUNDDOWN(U48,-2)</f>
        <v>0</v>
      </c>
      <c r="V49" s="88" t="s">
        <v>6</v>
      </c>
      <c r="W49" s="30" t="s">
        <v>43</v>
      </c>
      <c r="X49" s="29">
        <f t="shared" si="28"/>
        <v>0</v>
      </c>
      <c r="Y49" s="30" t="s">
        <v>42</v>
      </c>
      <c r="Z49" s="31">
        <f>IF($AH$13&gt;0,0,BB49)</f>
        <v>0</v>
      </c>
      <c r="AA49" s="26"/>
      <c r="AB49" s="26"/>
      <c r="AC49" s="494"/>
      <c r="AD49" s="26"/>
      <c r="AE49" s="500" t="str">
        <f>IF($AH$13&gt;0,"－",IF($AG$2&gt;0,"限度超過",IF(U50=Z50,"OK","ｱﾝﾏｯﾁ")))</f>
        <v>OK</v>
      </c>
      <c r="AF49" s="499"/>
      <c r="AG49" s="26"/>
      <c r="AI49" s="173"/>
      <c r="AJ49" s="173"/>
      <c r="AK49" s="173"/>
      <c r="AL49" s="173"/>
      <c r="AM49" s="173"/>
      <c r="AN49" s="174"/>
      <c r="AO49" s="328" t="s">
        <v>43</v>
      </c>
      <c r="AP49" s="326">
        <f>ROUNDDOWN(AR50/10,-2)</f>
        <v>0</v>
      </c>
      <c r="AQ49" s="327" t="s">
        <v>42</v>
      </c>
      <c r="AR49" s="358">
        <f>ROUNDDOWN(AR50/10,-2)</f>
        <v>0</v>
      </c>
      <c r="AS49" s="173"/>
      <c r="AT49" s="316" t="s">
        <v>43</v>
      </c>
      <c r="AU49" s="377">
        <f t="shared" si="29"/>
        <v>0</v>
      </c>
      <c r="AV49" s="314" t="s">
        <v>42</v>
      </c>
      <c r="AW49" s="378">
        <f>IF($AG$2&gt;0,"限度超過",AR49-BB138-BB227)</f>
        <v>0</v>
      </c>
      <c r="AX49" s="379"/>
      <c r="AY49" s="409" t="s">
        <v>43</v>
      </c>
      <c r="AZ49" s="313">
        <f t="shared" si="30"/>
        <v>0</v>
      </c>
      <c r="BA49" s="314" t="s">
        <v>42</v>
      </c>
      <c r="BB49" s="408">
        <f>AW49</f>
        <v>0</v>
      </c>
      <c r="BC49" s="379"/>
      <c r="BD49" s="451" t="s">
        <v>43</v>
      </c>
      <c r="BE49" s="81">
        <f t="shared" si="31"/>
        <v>0</v>
      </c>
      <c r="BF49" s="82" t="s">
        <v>42</v>
      </c>
      <c r="BG49" s="29">
        <f>BG39</f>
        <v>0</v>
      </c>
      <c r="BH49" s="12"/>
      <c r="BI49" s="30" t="s">
        <v>43</v>
      </c>
      <c r="BJ49" s="29">
        <f t="shared" si="32"/>
        <v>0</v>
      </c>
      <c r="BK49" s="30" t="s">
        <v>42</v>
      </c>
      <c r="BL49" s="29">
        <f>IF($A$87=$L$87,"限度超過",IF(BG49=0,0,BG49/$S$5))</f>
        <v>0</v>
      </c>
      <c r="BM49" s="12"/>
      <c r="BN49" s="30" t="s">
        <v>43</v>
      </c>
      <c r="BO49" s="29">
        <f t="shared" si="33"/>
        <v>0</v>
      </c>
      <c r="BP49" s="30" t="s">
        <v>42</v>
      </c>
      <c r="BQ49" s="460">
        <f>IF($A$87=$L$87,"限度超過",IF($S$5&lt;=3,0,BL49))</f>
        <v>0</v>
      </c>
      <c r="BR49" s="12"/>
      <c r="BS49" s="12"/>
      <c r="BT49" s="12"/>
      <c r="BU49" s="12"/>
      <c r="BV49" s="12"/>
      <c r="BW49" s="12"/>
      <c r="BX49" s="32" t="s">
        <v>25</v>
      </c>
      <c r="BY49" s="45">
        <f>K51</f>
        <v>0</v>
      </c>
      <c r="BZ49" s="45">
        <f t="shared" si="34"/>
        <v>0</v>
      </c>
      <c r="CA49" s="45">
        <f t="shared" si="34"/>
        <v>0</v>
      </c>
      <c r="CB49" s="45">
        <f t="shared" si="34"/>
        <v>0</v>
      </c>
      <c r="CC49" s="713">
        <f>CB49</f>
        <v>0</v>
      </c>
      <c r="CD49" s="4"/>
      <c r="CE49" s="4"/>
      <c r="CF49" s="4"/>
      <c r="CG49" s="4"/>
      <c r="CH49" s="4"/>
      <c r="CI49" s="13"/>
      <c r="CK49" s="1338"/>
      <c r="CL49" s="283" t="s">
        <v>187</v>
      </c>
      <c r="CM49" s="288">
        <f t="shared" si="35"/>
        <v>407</v>
      </c>
      <c r="CN49" s="305" t="s">
        <v>183</v>
      </c>
      <c r="CO49" s="288">
        <f>IF($CN$59=0,0,IF($CN$59&gt;=9,1,IF($CN$59&lt;=-9,-1,0)))</f>
        <v>0</v>
      </c>
      <c r="CP49" s="288">
        <f t="shared" ref="CP49:CP57" si="36">CM49+CO49</f>
        <v>407</v>
      </c>
      <c r="CR49" s="56"/>
    </row>
    <row r="50" spans="1:96" ht="18" customHeight="1">
      <c r="A50" s="1421" t="s">
        <v>10</v>
      </c>
      <c r="B50" s="12"/>
      <c r="C50" s="12"/>
      <c r="D50" s="1419" t="s">
        <v>7</v>
      </c>
      <c r="E50" s="1416">
        <f>IF(H50&gt;0,$CE$8,0)</f>
        <v>0</v>
      </c>
      <c r="F50" s="97"/>
      <c r="G50" s="855" t="s">
        <v>59</v>
      </c>
      <c r="H50" s="1413">
        <f>IF(B45=0,0,SUBTOTAL(3,B45))</f>
        <v>0</v>
      </c>
      <c r="I50" s="1277" t="s">
        <v>22</v>
      </c>
      <c r="J50" s="855" t="s">
        <v>59</v>
      </c>
      <c r="K50" s="51">
        <f>IF(H50&gt;0,K47,0)</f>
        <v>0</v>
      </c>
      <c r="L50" s="52" t="s">
        <v>5</v>
      </c>
      <c r="M50" s="1407" t="s">
        <v>122</v>
      </c>
      <c r="N50" s="1402">
        <f>IF(O50=0,0,"―")</f>
        <v>0</v>
      </c>
      <c r="O50" s="1404">
        <f>IF(H50=0,0,IF(BY52=0,IF($D$5=7,BZ51,IF($D$5=5,CA51,IF($D$5=2,CB51,CC51))),IF($D$5=7,BZ51+BZ52,IF($D$5=5,CA51+CA52,IF($D$5=2,CB51+CB52,CC51+CC52)))))</f>
        <v>0</v>
      </c>
      <c r="P50" s="1405"/>
      <c r="Q50" s="1377" t="s">
        <v>130</v>
      </c>
      <c r="R50" s="1403">
        <f>IF(H50&gt;0,IF(K47=0,0,ROUNDDOWN(((E50*H50)*K50/K51)-O50,0)),0)</f>
        <v>0</v>
      </c>
      <c r="S50" s="1381" t="s">
        <v>6</v>
      </c>
      <c r="T50" s="1388" t="s">
        <v>32</v>
      </c>
      <c r="U50" s="1387">
        <f>IF($L$87=$A$87,"限度超過!",U48)</f>
        <v>0</v>
      </c>
      <c r="V50" s="1389" t="s">
        <v>6</v>
      </c>
      <c r="W50" s="30" t="s">
        <v>37</v>
      </c>
      <c r="X50" s="29">
        <f t="shared" si="28"/>
        <v>0</v>
      </c>
      <c r="Y50" s="1199" t="s">
        <v>44</v>
      </c>
      <c r="Z50" s="1394">
        <f>IF($AH$13&gt;0,0,BB50)</f>
        <v>0</v>
      </c>
      <c r="AA50" s="26"/>
      <c r="AB50" s="26"/>
      <c r="AC50" s="494"/>
      <c r="AD50" s="26"/>
      <c r="AE50" s="500" t="str">
        <f>IF($AG$2&gt;0,"限度超過",IF(X46+X47+X48+X49+X50+X51+Z46+Z47+Z48+Z49=Z50,"OK","エラー"))</f>
        <v>OK</v>
      </c>
      <c r="AF50" s="1361">
        <f>IF(H50&gt;0,IF(K47=0,0,ROUNDDOWN((E50*H50)-O50,0)),0)</f>
        <v>0</v>
      </c>
      <c r="AG50" s="26"/>
      <c r="AI50" s="173"/>
      <c r="AJ50" s="173"/>
      <c r="AK50" s="173"/>
      <c r="AL50" s="173"/>
      <c r="AM50" s="173"/>
      <c r="AN50" s="174"/>
      <c r="AO50" s="328" t="s">
        <v>37</v>
      </c>
      <c r="AP50" s="326">
        <f>ROUNDDOWN(AR50/10,-2)</f>
        <v>0</v>
      </c>
      <c r="AQ50" s="329" t="s">
        <v>44</v>
      </c>
      <c r="AR50" s="330">
        <f>IF($AG$2&gt;0,0,IF($AH$13&gt;0,0,U50+U139+U228))</f>
        <v>0</v>
      </c>
      <c r="AS50" s="173"/>
      <c r="AT50" s="316" t="s">
        <v>37</v>
      </c>
      <c r="AU50" s="377">
        <f t="shared" si="29"/>
        <v>0</v>
      </c>
      <c r="AV50" s="317" t="s">
        <v>44</v>
      </c>
      <c r="AW50" s="315">
        <f>IF($AG$2&gt;0,"限度超過",AU46+AU47+AU48+AU49+AU50+AU51+AW46+AW47+AW48+AW49)</f>
        <v>0</v>
      </c>
      <c r="AX50" s="379"/>
      <c r="AY50" s="409" t="s">
        <v>37</v>
      </c>
      <c r="AZ50" s="313">
        <f t="shared" si="30"/>
        <v>0</v>
      </c>
      <c r="BA50" s="317" t="s">
        <v>44</v>
      </c>
      <c r="BB50" s="408">
        <f>AW50</f>
        <v>0</v>
      </c>
      <c r="BC50" s="379"/>
      <c r="BD50" s="451" t="s">
        <v>37</v>
      </c>
      <c r="BE50" s="81">
        <f t="shared" si="31"/>
        <v>0</v>
      </c>
      <c r="BF50" s="443" t="s">
        <v>44</v>
      </c>
      <c r="BG50" s="29">
        <f>IF($A$87=$L$87,"限度超過",BE46+BE47+BE48+BE49+BE50+BE51+BG46+BG47+BG48+BG49)</f>
        <v>0</v>
      </c>
      <c r="BH50" s="12"/>
      <c r="BI50" s="30" t="s">
        <v>37</v>
      </c>
      <c r="BJ50" s="29">
        <f t="shared" si="32"/>
        <v>0</v>
      </c>
      <c r="BK50" s="98" t="s">
        <v>44</v>
      </c>
      <c r="BL50" s="29">
        <f>IF($A$87=$L$87,"限度超過",BJ46+BJ47+BJ48+BJ49+BJ50+BJ51+BL46+BL47+BL48+BL49)</f>
        <v>0</v>
      </c>
      <c r="BM50" s="12"/>
      <c r="BN50" s="30" t="s">
        <v>37</v>
      </c>
      <c r="BO50" s="29">
        <f t="shared" si="33"/>
        <v>0</v>
      </c>
      <c r="BP50" s="98" t="s">
        <v>44</v>
      </c>
      <c r="BQ50" s="460">
        <f>IF($A$87=$L$87,"限度超過",BO46+BO47+BO48+BO49+BO50+BO51+BQ46+BQ47+BQ48+BQ49)</f>
        <v>0</v>
      </c>
      <c r="BR50" s="12"/>
      <c r="BS50" s="12"/>
      <c r="BT50" s="12"/>
      <c r="BU50" s="12"/>
      <c r="BV50" s="12"/>
      <c r="BW50" s="12"/>
      <c r="BX50" s="32" t="s">
        <v>26</v>
      </c>
      <c r="BY50" s="26">
        <f>H50</f>
        <v>0</v>
      </c>
      <c r="BZ50" s="99">
        <f t="shared" si="34"/>
        <v>0</v>
      </c>
      <c r="CA50" s="99">
        <f t="shared" si="34"/>
        <v>0</v>
      </c>
      <c r="CB50" s="99">
        <f t="shared" si="34"/>
        <v>0</v>
      </c>
      <c r="CC50" s="713">
        <f>CB50</f>
        <v>0</v>
      </c>
      <c r="CD50" s="4"/>
      <c r="CE50" s="4"/>
      <c r="CF50" s="4"/>
      <c r="CG50" s="4"/>
      <c r="CH50" s="4"/>
      <c r="CI50" s="13"/>
      <c r="CK50" s="1338"/>
      <c r="CL50" s="283" t="s">
        <v>188</v>
      </c>
      <c r="CM50" s="288">
        <f t="shared" si="35"/>
        <v>407</v>
      </c>
      <c r="CN50" s="291" t="s">
        <v>203</v>
      </c>
      <c r="CO50" s="288">
        <f>IF($CN$59=0,0,IF($CN$59&gt;=8,1,IF($CN$59&lt;=-8,-1,0)))</f>
        <v>0</v>
      </c>
      <c r="CP50" s="288">
        <f t="shared" si="36"/>
        <v>407</v>
      </c>
      <c r="CR50" s="56"/>
    </row>
    <row r="51" spans="1:96" ht="18" customHeight="1">
      <c r="A51" s="1421"/>
      <c r="B51" s="12"/>
      <c r="C51" s="12"/>
      <c r="D51" s="1419"/>
      <c r="E51" s="1416"/>
      <c r="F51" s="12"/>
      <c r="G51" s="855"/>
      <c r="H51" s="1413"/>
      <c r="I51" s="1277"/>
      <c r="J51" s="855"/>
      <c r="K51" s="180">
        <f>IF(H50&gt;0,K48,0)</f>
        <v>0</v>
      </c>
      <c r="L51" s="12" t="s">
        <v>5</v>
      </c>
      <c r="M51" s="1407"/>
      <c r="N51" s="1402"/>
      <c r="O51" s="1405"/>
      <c r="P51" s="1405"/>
      <c r="Q51" s="1377"/>
      <c r="R51" s="1403"/>
      <c r="S51" s="1381"/>
      <c r="T51" s="1388"/>
      <c r="U51" s="1387"/>
      <c r="V51" s="1389"/>
      <c r="W51" s="30" t="s">
        <v>38</v>
      </c>
      <c r="X51" s="29">
        <f t="shared" si="28"/>
        <v>0</v>
      </c>
      <c r="Y51" s="1368"/>
      <c r="Z51" s="1395"/>
      <c r="AA51" s="26"/>
      <c r="AB51" s="26"/>
      <c r="AC51" s="494"/>
      <c r="AD51" s="26"/>
      <c r="AE51" s="489"/>
      <c r="AF51" s="1360"/>
      <c r="AG51" s="26"/>
      <c r="AH51" s="26"/>
      <c r="AI51" s="173"/>
      <c r="AJ51" s="173"/>
      <c r="AK51" s="173"/>
      <c r="AL51" s="173"/>
      <c r="AM51" s="173"/>
      <c r="AN51" s="174"/>
      <c r="AO51" s="328" t="s">
        <v>38</v>
      </c>
      <c r="AP51" s="326">
        <f>ROUNDDOWN(AR50/10,-2)</f>
        <v>0</v>
      </c>
      <c r="AQ51" s="327"/>
      <c r="AR51" s="331"/>
      <c r="AS51" s="173"/>
      <c r="AT51" s="316" t="s">
        <v>38</v>
      </c>
      <c r="AU51" s="377">
        <f t="shared" si="29"/>
        <v>0</v>
      </c>
      <c r="AV51" s="314" t="s">
        <v>75</v>
      </c>
      <c r="AW51" s="332">
        <f>IF($AG$2&gt;0,"限度超過",U50)</f>
        <v>0</v>
      </c>
      <c r="AX51" s="379"/>
      <c r="AY51" s="409" t="s">
        <v>38</v>
      </c>
      <c r="AZ51" s="313">
        <f t="shared" si="30"/>
        <v>0</v>
      </c>
      <c r="BA51" s="314"/>
      <c r="BB51" s="410"/>
      <c r="BC51" s="379"/>
      <c r="BD51" s="451" t="s">
        <v>38</v>
      </c>
      <c r="BE51" s="81">
        <f t="shared" si="31"/>
        <v>0</v>
      </c>
      <c r="BF51" s="82"/>
      <c r="BG51" s="100"/>
      <c r="BH51" s="12"/>
      <c r="BI51" s="30" t="s">
        <v>38</v>
      </c>
      <c r="BJ51" s="29">
        <f t="shared" si="32"/>
        <v>0</v>
      </c>
      <c r="BK51" s="30"/>
      <c r="BL51" s="100"/>
      <c r="BM51" s="12"/>
      <c r="BN51" s="30" t="s">
        <v>38</v>
      </c>
      <c r="BO51" s="29">
        <f t="shared" si="33"/>
        <v>0</v>
      </c>
      <c r="BP51" s="30"/>
      <c r="BQ51" s="461"/>
      <c r="BR51" s="12"/>
      <c r="BS51" s="12"/>
      <c r="BT51" s="12"/>
      <c r="BU51" s="12"/>
      <c r="BV51" s="12"/>
      <c r="BW51" s="12"/>
      <c r="BX51" s="67" t="s">
        <v>27</v>
      </c>
      <c r="BY51" s="45">
        <f>IF(BY50&gt;0,ROUNDDOWN(BY47*BY50*BY48/BY49,0),0)</f>
        <v>0</v>
      </c>
      <c r="BZ51" s="45">
        <f>IF(BZ50&gt;0,ROUNDDOWN(BZ47*BZ50*BZ48/BZ49,0),0)</f>
        <v>0</v>
      </c>
      <c r="CA51" s="45">
        <f>IF(CA50&gt;0,ROUNDDOWN(CA47*CA50*CA48/CA49,0),0)</f>
        <v>0</v>
      </c>
      <c r="CB51" s="45">
        <f>IF(CB50&gt;0,ROUNDDOWN(CB47*CB50*CB48/CB49,0),0)</f>
        <v>0</v>
      </c>
      <c r="CC51" s="713">
        <v>0</v>
      </c>
      <c r="CD51" s="4"/>
      <c r="CE51" s="4"/>
      <c r="CF51" s="4"/>
      <c r="CG51" s="4"/>
      <c r="CH51" s="4"/>
      <c r="CI51" s="13"/>
      <c r="CK51" s="1338"/>
      <c r="CL51" s="283" t="s">
        <v>189</v>
      </c>
      <c r="CM51" s="288">
        <f t="shared" si="35"/>
        <v>407</v>
      </c>
      <c r="CN51" s="291"/>
      <c r="CO51" s="288">
        <f>IF($CN$59=0,0,IF($CN$59&gt;=7,1,IF($CN$59&lt;=-7,-1,0)))</f>
        <v>0</v>
      </c>
      <c r="CP51" s="288">
        <f t="shared" si="36"/>
        <v>407</v>
      </c>
      <c r="CR51" s="56"/>
    </row>
    <row r="52" spans="1:96" ht="18" customHeight="1">
      <c r="A52" s="202"/>
      <c r="B52" s="75" t="s">
        <v>118</v>
      </c>
      <c r="C52" s="12"/>
      <c r="D52" s="160"/>
      <c r="E52" s="161"/>
      <c r="F52" s="12"/>
      <c r="G52" s="50"/>
      <c r="H52" s="162"/>
      <c r="I52" s="159"/>
      <c r="J52" s="50"/>
      <c r="K52" s="180"/>
      <c r="L52" s="12"/>
      <c r="M52" s="86"/>
      <c r="N52" s="86"/>
      <c r="O52" s="181"/>
      <c r="P52" s="181"/>
      <c r="Q52" s="156"/>
      <c r="R52" s="157"/>
      <c r="S52" s="49"/>
      <c r="T52" s="50"/>
      <c r="U52" s="182"/>
      <c r="V52" s="50"/>
      <c r="W52" s="4"/>
      <c r="X52" s="26"/>
      <c r="Y52" s="170"/>
      <c r="Z52" s="187"/>
      <c r="AA52" s="4"/>
      <c r="AB52" s="4"/>
      <c r="AC52" s="492"/>
      <c r="AD52" s="4"/>
      <c r="AE52" s="74"/>
      <c r="AF52" s="236"/>
      <c r="AG52" s="4"/>
      <c r="AH52" s="4"/>
      <c r="AI52" s="174"/>
      <c r="AJ52" s="174"/>
      <c r="AK52" s="174"/>
      <c r="AL52" s="174"/>
      <c r="AM52" s="174"/>
      <c r="AN52" s="174"/>
      <c r="AO52" s="486"/>
      <c r="AP52" s="486"/>
      <c r="AQ52" s="487"/>
      <c r="AR52" s="487"/>
      <c r="AS52" s="174"/>
      <c r="AT52" s="381"/>
      <c r="AU52" s="472">
        <f>IF($AG$2&gt;0,"限度超過",0)</f>
        <v>0</v>
      </c>
      <c r="AV52" s="380"/>
      <c r="AW52" s="382" t="str">
        <f>IF(AW50=AW51,"OK","エラー")</f>
        <v>OK</v>
      </c>
      <c r="AX52" s="379"/>
      <c r="AY52" s="411"/>
      <c r="AZ52" s="320"/>
      <c r="BA52" s="319"/>
      <c r="BB52" s="412"/>
      <c r="BC52" s="379"/>
      <c r="BD52" s="452"/>
      <c r="BE52" s="26"/>
      <c r="BF52" s="4" t="s">
        <v>260</v>
      </c>
      <c r="BH52" s="12"/>
      <c r="BJ52" s="26"/>
      <c r="BM52" s="12"/>
      <c r="BO52" s="26"/>
      <c r="BQ52" s="462"/>
      <c r="BR52" s="12"/>
      <c r="BS52" s="12"/>
      <c r="BT52" s="12"/>
      <c r="BU52" s="12"/>
      <c r="BV52" s="12"/>
      <c r="BW52" s="12"/>
      <c r="BX52" s="32" t="s">
        <v>468</v>
      </c>
      <c r="BY52" s="713">
        <f>IF(入力画面!E27=1,1,0)</f>
        <v>1</v>
      </c>
      <c r="BZ52" s="713" t="e">
        <f>IF($BY$52=1,ROUNDDOWN(CF12*BZ48/BZ49,0),0)</f>
        <v>#DIV/0!</v>
      </c>
      <c r="CA52" s="713" t="e">
        <f>IF($BY$52=1,ROUNDDOWN(CG12*CA48/CA49,0),0)</f>
        <v>#DIV/0!</v>
      </c>
      <c r="CB52" s="713" t="e">
        <f>IF($BY$52=1,ROUNDDOWN(CH12*CB48/CB49,0),0)</f>
        <v>#DIV/0!</v>
      </c>
      <c r="CC52" s="713" t="e">
        <f>IF($BY$52=1,ROUNDDOWN(CE12*CC48/CC49,0),0)</f>
        <v>#DIV/0!</v>
      </c>
      <c r="CD52" s="4"/>
      <c r="CE52" s="4"/>
      <c r="CF52" s="4"/>
      <c r="CG52" s="4"/>
      <c r="CH52" s="4"/>
      <c r="CI52" s="13"/>
      <c r="CK52" s="280"/>
      <c r="CL52" s="283" t="s">
        <v>190</v>
      </c>
      <c r="CM52" s="288">
        <f t="shared" si="35"/>
        <v>407</v>
      </c>
      <c r="CN52" s="291"/>
      <c r="CO52" s="288">
        <f>IF($CN$59=0,0,IF($CN$59&gt;=6,1,IF($CN$59&lt;=-6,-1,0)))</f>
        <v>0</v>
      </c>
      <c r="CP52" s="288">
        <f t="shared" si="36"/>
        <v>407</v>
      </c>
      <c r="CR52" s="56"/>
    </row>
    <row r="53" spans="1:96" ht="18" customHeight="1">
      <c r="A53" s="58" t="s">
        <v>1</v>
      </c>
      <c r="B53" s="52"/>
      <c r="C53" s="189">
        <f>IF(H50&gt;0,$X$13,0)</f>
        <v>0</v>
      </c>
      <c r="D53" s="203" t="s">
        <v>6</v>
      </c>
      <c r="E53" s="60" t="s">
        <v>131</v>
      </c>
      <c r="F53" s="1204">
        <f>K47</f>
        <v>0</v>
      </c>
      <c r="G53" s="1204"/>
      <c r="H53" s="216" t="s">
        <v>5</v>
      </c>
      <c r="I53" s="1451" t="s">
        <v>14</v>
      </c>
      <c r="J53" s="1451"/>
      <c r="K53" s="1204">
        <f>C53*F53</f>
        <v>0</v>
      </c>
      <c r="L53" s="1204"/>
      <c r="M53" s="204" t="s">
        <v>6</v>
      </c>
      <c r="N53" s="204"/>
      <c r="O53" s="205"/>
      <c r="P53" s="205"/>
      <c r="Q53" s="63"/>
      <c r="R53" s="206"/>
      <c r="S53" s="59"/>
      <c r="T53" s="27"/>
      <c r="U53" s="207"/>
      <c r="V53" s="27"/>
      <c r="W53" s="188"/>
      <c r="X53" s="189"/>
      <c r="Y53" s="208"/>
      <c r="Z53" s="163"/>
      <c r="AB53" s="4"/>
      <c r="AC53" s="492"/>
      <c r="AD53" s="4"/>
      <c r="AE53" s="74"/>
      <c r="AF53" s="237"/>
      <c r="AG53" s="4"/>
      <c r="AH53" s="4"/>
      <c r="AI53" s="174"/>
      <c r="AJ53" s="174"/>
      <c r="AK53" s="174"/>
      <c r="AL53" s="174"/>
      <c r="AM53" s="174"/>
      <c r="AN53" s="174"/>
      <c r="AO53" s="1322" t="s">
        <v>254</v>
      </c>
      <c r="AP53" s="1322"/>
      <c r="AQ53" s="487"/>
      <c r="AR53" s="487"/>
      <c r="AS53" s="174"/>
      <c r="AT53" s="1306" t="s">
        <v>247</v>
      </c>
      <c r="AU53" s="1306"/>
      <c r="AV53" s="380"/>
      <c r="AW53" s="380"/>
      <c r="AX53" s="379"/>
      <c r="AY53" s="1307" t="s">
        <v>247</v>
      </c>
      <c r="AZ53" s="1306"/>
      <c r="BA53" s="319"/>
      <c r="BB53" s="412"/>
      <c r="BC53" s="379"/>
      <c r="BD53" s="452"/>
      <c r="BE53" s="26"/>
      <c r="BF53" s="4" t="s">
        <v>261</v>
      </c>
      <c r="BH53" s="12"/>
      <c r="BJ53" s="26"/>
      <c r="BM53" s="12"/>
      <c r="BO53" s="26"/>
      <c r="BQ53" s="462"/>
      <c r="BR53" s="12"/>
      <c r="BS53" s="12"/>
      <c r="BT53" s="12"/>
      <c r="BU53" s="12"/>
      <c r="BV53" s="12"/>
      <c r="BW53" s="12"/>
      <c r="BX53" s="4"/>
      <c r="BY53" s="26"/>
      <c r="BZ53" s="26"/>
      <c r="CA53" s="26"/>
      <c r="CB53" s="26"/>
      <c r="CC53" s="4"/>
      <c r="CD53" s="4"/>
      <c r="CE53" s="4"/>
      <c r="CF53" s="4"/>
      <c r="CG53" s="4"/>
      <c r="CH53" s="4"/>
      <c r="CI53" s="13"/>
      <c r="CK53" s="280"/>
      <c r="CL53" s="283" t="s">
        <v>191</v>
      </c>
      <c r="CM53" s="288">
        <f t="shared" si="35"/>
        <v>407</v>
      </c>
      <c r="CN53" s="291"/>
      <c r="CO53" s="288">
        <f>IF($CN$59=0,0,IF($CN$59&gt;=5,1,IF($CN$59&lt;=-5,-1,0)))</f>
        <v>0</v>
      </c>
      <c r="CP53" s="288">
        <f t="shared" si="36"/>
        <v>407</v>
      </c>
      <c r="CR53" s="56"/>
    </row>
    <row r="54" spans="1:96" ht="18" customHeight="1">
      <c r="D54" s="101"/>
      <c r="E54" s="70"/>
      <c r="G54" s="9"/>
      <c r="H54" s="102"/>
      <c r="I54" s="5"/>
      <c r="J54" s="9"/>
      <c r="K54" s="18"/>
      <c r="M54" s="103"/>
      <c r="P54" s="103"/>
      <c r="Q54" s="70"/>
      <c r="R54" s="104"/>
      <c r="S54" s="68"/>
      <c r="T54" s="68"/>
      <c r="U54" s="68"/>
      <c r="V54" s="18"/>
      <c r="AA54" s="26"/>
      <c r="AB54" s="26"/>
      <c r="AC54" s="494"/>
      <c r="AD54" s="26"/>
      <c r="AE54" s="489"/>
      <c r="AF54" s="233"/>
      <c r="AG54" s="26"/>
      <c r="AH54" s="26"/>
      <c r="AI54" s="173"/>
      <c r="AJ54" s="179"/>
      <c r="AK54" s="179"/>
      <c r="AL54" s="179"/>
      <c r="AM54" s="179"/>
      <c r="AN54" s="174"/>
      <c r="AO54" s="324" t="s">
        <v>55</v>
      </c>
      <c r="AP54" s="346" t="s">
        <v>214</v>
      </c>
      <c r="AQ54" s="1323" t="s">
        <v>213</v>
      </c>
      <c r="AR54" s="1323"/>
      <c r="AS54" s="179"/>
      <c r="AT54" s="1310" t="s">
        <v>242</v>
      </c>
      <c r="AU54" s="1310"/>
      <c r="AV54" s="1310"/>
      <c r="AW54" s="1310"/>
      <c r="AX54" s="379"/>
      <c r="AY54" s="406" t="s">
        <v>257</v>
      </c>
      <c r="AZ54" s="1308" t="s">
        <v>258</v>
      </c>
      <c r="BA54" s="1308"/>
      <c r="BB54" s="1309"/>
      <c r="BC54" s="379"/>
      <c r="BD54" s="1267" t="s">
        <v>259</v>
      </c>
      <c r="BE54" s="1268"/>
      <c r="BF54" s="1268"/>
      <c r="BG54" s="1268"/>
      <c r="BH54" s="12"/>
      <c r="BI54" s="440" t="s">
        <v>262</v>
      </c>
      <c r="BJ54" s="1269" t="s">
        <v>263</v>
      </c>
      <c r="BK54" s="1269"/>
      <c r="BL54" s="1269"/>
      <c r="BM54" s="12"/>
      <c r="BO54" s="143" t="s">
        <v>126</v>
      </c>
      <c r="BP54" s="12" t="s">
        <v>88</v>
      </c>
      <c r="BQ54" s="449"/>
      <c r="BR54" s="12"/>
      <c r="BS54" s="12"/>
      <c r="BT54" s="12"/>
      <c r="BU54" s="12"/>
      <c r="BV54" s="12"/>
      <c r="BW54" s="12"/>
      <c r="BX54" s="4"/>
      <c r="BY54" s="4"/>
      <c r="BZ54" s="4"/>
      <c r="CA54" s="4"/>
      <c r="CB54" s="4"/>
      <c r="CC54" s="4"/>
      <c r="CD54" s="4"/>
      <c r="CE54" s="4"/>
      <c r="CF54" s="4"/>
      <c r="CG54" s="4"/>
      <c r="CH54" s="4"/>
      <c r="CI54" s="13"/>
      <c r="CK54" s="280"/>
      <c r="CL54" s="283" t="s">
        <v>192</v>
      </c>
      <c r="CM54" s="288">
        <f t="shared" si="35"/>
        <v>407</v>
      </c>
      <c r="CN54" s="291"/>
      <c r="CO54" s="288">
        <f>IF($CN$59=0,0,IF($CN$59&gt;=4,1,IF($CN$59&lt;=-4,-1,0)))</f>
        <v>1</v>
      </c>
      <c r="CP54" s="288">
        <f t="shared" si="36"/>
        <v>408</v>
      </c>
      <c r="CR54" s="56"/>
    </row>
    <row r="55" spans="1:96" ht="18" customHeight="1">
      <c r="A55" s="196" t="s">
        <v>55</v>
      </c>
      <c r="B55" s="1382">
        <f>入力画面!C32</f>
        <v>0</v>
      </c>
      <c r="C55" s="1382"/>
      <c r="D55" s="1382"/>
      <c r="E55" s="198" t="s">
        <v>11</v>
      </c>
      <c r="F55" s="1412" t="s">
        <v>57</v>
      </c>
      <c r="G55" s="1412"/>
      <c r="H55" s="1412"/>
      <c r="I55" s="1449">
        <f>IF(入力画面!I35&gt;0,1,0)</f>
        <v>0</v>
      </c>
      <c r="J55" s="1450"/>
      <c r="K55" s="1373">
        <f>IF(H60=0,0,IF($K$8=0, "加入月が未入力です!！",IF($L$87=$A$87,"限度超過額に達しているため計算不可能!!",IF(U57-U56=U58,"エラー名前を入力されているが加入月未入力!！",IF(H60&gt;K57,"加入月未入力エラー!！",0)))))</f>
        <v>0</v>
      </c>
      <c r="L55" s="1374"/>
      <c r="M55" s="1374"/>
      <c r="N55" s="1374"/>
      <c r="O55" s="1374"/>
      <c r="P55" s="1374"/>
      <c r="Q55" s="1374"/>
      <c r="R55" s="1374"/>
      <c r="S55" s="1375"/>
      <c r="T55" s="197" t="s">
        <v>47</v>
      </c>
      <c r="U55" s="1383">
        <f>IF(U60&gt;0,"医療分",0)</f>
        <v>0</v>
      </c>
      <c r="V55" s="1384"/>
      <c r="W55" s="1385" t="s">
        <v>46</v>
      </c>
      <c r="X55" s="1164"/>
      <c r="Y55" s="1164"/>
      <c r="Z55" s="1165"/>
      <c r="AA55" s="26"/>
      <c r="AB55" s="26"/>
      <c r="AC55" s="494"/>
      <c r="AD55" s="26"/>
      <c r="AE55" s="489"/>
      <c r="AF55" s="238" t="s">
        <v>117</v>
      </c>
      <c r="AG55" s="26"/>
      <c r="AH55" s="276">
        <f>IF(K57=0,0,IF(K57&lt;12,1,0))</f>
        <v>0</v>
      </c>
      <c r="AI55" s="173"/>
      <c r="AJ55" s="179"/>
      <c r="AK55" s="179"/>
      <c r="AL55" s="179"/>
      <c r="AM55" s="179"/>
      <c r="AN55" s="369" t="s">
        <v>148</v>
      </c>
      <c r="AO55" s="1324" t="s">
        <v>46</v>
      </c>
      <c r="AP55" s="1325"/>
      <c r="AQ55" s="1399">
        <f>IF(R57+R60=0,0,IF(K58&gt;K57,"期割がアンマッチ使用禁止↓",0))</f>
        <v>0</v>
      </c>
      <c r="AR55" s="1400"/>
      <c r="AS55" s="179"/>
      <c r="AT55" s="1311" t="s">
        <v>46</v>
      </c>
      <c r="AU55" s="1312"/>
      <c r="AV55" s="1313"/>
      <c r="AW55" s="1314"/>
      <c r="AX55" s="379"/>
      <c r="AY55" s="1319" t="s">
        <v>46</v>
      </c>
      <c r="AZ55" s="1312"/>
      <c r="BA55" s="1313">
        <f>IF($R$17+$R60=0,0,IF($K$18&gt;$K$17,"期割がアンマッチ使用禁止↓",0))</f>
        <v>0</v>
      </c>
      <c r="BB55" s="1346"/>
      <c r="BC55" s="379"/>
      <c r="BD55" s="1272" t="s">
        <v>46</v>
      </c>
      <c r="BE55" s="1273"/>
      <c r="BF55" s="1304" t="s">
        <v>87</v>
      </c>
      <c r="BG55" s="1305"/>
      <c r="BH55" s="12"/>
      <c r="BI55" s="1139" t="s">
        <v>46</v>
      </c>
      <c r="BJ55" s="1273"/>
      <c r="BK55" s="1270"/>
      <c r="BL55" s="1271"/>
      <c r="BM55" s="12"/>
      <c r="BN55" s="1139" t="s">
        <v>46</v>
      </c>
      <c r="BO55" s="1273"/>
      <c r="BP55" s="1270"/>
      <c r="BQ55" s="1278"/>
      <c r="BR55" s="12"/>
      <c r="BS55" s="12"/>
      <c r="BT55" s="12"/>
      <c r="BU55" s="12"/>
      <c r="BV55" s="12"/>
      <c r="BW55" s="12"/>
      <c r="BX55" s="4"/>
      <c r="BY55" s="4"/>
      <c r="BZ55" s="4"/>
      <c r="CA55" s="4"/>
      <c r="CB55" s="4"/>
      <c r="CC55" s="4"/>
      <c r="CD55" s="4"/>
      <c r="CE55" s="4"/>
      <c r="CF55" s="4"/>
      <c r="CG55" s="4"/>
      <c r="CH55" s="4"/>
      <c r="CI55" s="13"/>
      <c r="CK55" s="280"/>
      <c r="CL55" s="283" t="s">
        <v>193</v>
      </c>
      <c r="CM55" s="288">
        <f t="shared" si="35"/>
        <v>407</v>
      </c>
      <c r="CN55" s="291"/>
      <c r="CO55" s="288">
        <f>IF($CN$59=0,0,IF($CN$59&gt;=3,1,IF($CN$59&lt;=-3,-1,0)))</f>
        <v>1</v>
      </c>
      <c r="CP55" s="288">
        <f t="shared" si="36"/>
        <v>408</v>
      </c>
      <c r="CR55" s="56"/>
    </row>
    <row r="56" spans="1:96" ht="18" customHeight="1">
      <c r="A56" s="165"/>
      <c r="B56" s="12"/>
      <c r="C56" s="75" t="s">
        <v>33</v>
      </c>
      <c r="D56" s="12"/>
      <c r="E56" s="12"/>
      <c r="F56" s="12"/>
      <c r="G56" s="12"/>
      <c r="H56" s="50"/>
      <c r="I56" s="93"/>
      <c r="J56" s="12"/>
      <c r="K56" s="76" t="s">
        <v>9</v>
      </c>
      <c r="L56" s="12"/>
      <c r="M56" s="1414"/>
      <c r="N56" s="1414"/>
      <c r="O56" s="1414"/>
      <c r="P56" s="1414"/>
      <c r="Q56" s="1414"/>
      <c r="R56" s="1414"/>
      <c r="S56" s="1415"/>
      <c r="T56" s="72" t="s">
        <v>30</v>
      </c>
      <c r="U56" s="105">
        <f>R57+R60</f>
        <v>0</v>
      </c>
      <c r="V56" s="88" t="s">
        <v>6</v>
      </c>
      <c r="W56" s="80" t="s">
        <v>34</v>
      </c>
      <c r="X56" s="29">
        <f t="shared" ref="X56:X61" si="37">IF($AH$13&gt;0,0,AZ56)</f>
        <v>0</v>
      </c>
      <c r="Y56" s="80" t="s">
        <v>39</v>
      </c>
      <c r="Z56" s="31">
        <f>IF($AH$13&gt;0,0,BB56)</f>
        <v>0</v>
      </c>
      <c r="AA56" s="26"/>
      <c r="AB56" s="26"/>
      <c r="AC56" s="494"/>
      <c r="AD56" s="26"/>
      <c r="AE56" s="489"/>
      <c r="AF56" s="219">
        <f>AF57+AF60+AF63</f>
        <v>0</v>
      </c>
      <c r="AG56" s="26"/>
      <c r="AH56" s="26"/>
      <c r="AI56" s="173"/>
      <c r="AJ56" s="173"/>
      <c r="AK56" s="173"/>
      <c r="AL56" s="173"/>
      <c r="AM56" s="173"/>
      <c r="AN56" s="174"/>
      <c r="AO56" s="325" t="s">
        <v>34</v>
      </c>
      <c r="AP56" s="326">
        <f>AR60-(AP57+AP58+AP59+AP60+AP61+AR56+AR57+AR58+AR59)</f>
        <v>0</v>
      </c>
      <c r="AQ56" s="327" t="s">
        <v>39</v>
      </c>
      <c r="AR56" s="358">
        <f>ROUNDDOWN(AR60/10,-2)</f>
        <v>0</v>
      </c>
      <c r="AS56" s="173"/>
      <c r="AT56" s="316" t="s">
        <v>34</v>
      </c>
      <c r="AU56" s="377">
        <f t="shared" ref="AU56:AU61" si="38">IF($AG$2&gt;0,"限度超過",AP56-AZ145-AZ234)</f>
        <v>0</v>
      </c>
      <c r="AV56" s="314" t="s">
        <v>39</v>
      </c>
      <c r="AW56" s="378">
        <f>IF($AG$2&gt;0,"限度超過",AR56-BB145-BB234)</f>
        <v>0</v>
      </c>
      <c r="AX56" s="379"/>
      <c r="AY56" s="407" t="s">
        <v>34</v>
      </c>
      <c r="AZ56" s="313">
        <f t="shared" ref="AZ56:AZ61" si="39">AU56</f>
        <v>0</v>
      </c>
      <c r="BA56" s="314" t="s">
        <v>39</v>
      </c>
      <c r="BB56" s="408">
        <f>AW56</f>
        <v>0</v>
      </c>
      <c r="BC56" s="379"/>
      <c r="BD56" s="451" t="s">
        <v>34</v>
      </c>
      <c r="BE56" s="81">
        <f t="shared" ref="BE56:BE61" si="40">BE46</f>
        <v>0</v>
      </c>
      <c r="BF56" s="82" t="s">
        <v>39</v>
      </c>
      <c r="BG56" s="29">
        <f>BG46</f>
        <v>0</v>
      </c>
      <c r="BH56" s="12"/>
      <c r="BI56" s="80" t="s">
        <v>34</v>
      </c>
      <c r="BJ56" s="29">
        <f t="shared" ref="BJ56:BJ61" si="41">IF($A$87=$L$87,"限度超過",IF(BE56=0,0,BE56/$S$5))</f>
        <v>0</v>
      </c>
      <c r="BK56" s="80" t="s">
        <v>39</v>
      </c>
      <c r="BL56" s="29">
        <f>IF($A$87=$L$87,"限度超過",IF(BG56=0,0,BG56/$S$5))</f>
        <v>0</v>
      </c>
      <c r="BM56" s="12"/>
      <c r="BN56" s="30" t="s">
        <v>34</v>
      </c>
      <c r="BO56" s="29">
        <f t="shared" ref="BO56:BO61" si="42">IF($A$87=$L$87,"限度超過",IF($S$5&lt;=4,0,BJ56))</f>
        <v>0</v>
      </c>
      <c r="BP56" s="80" t="s">
        <v>39</v>
      </c>
      <c r="BQ56" s="460">
        <f>IF($A$87=$L$87,"限度超過",IF($S$5&lt;=4,0,BL56))</f>
        <v>0</v>
      </c>
      <c r="BR56" s="12"/>
      <c r="BS56" s="12"/>
      <c r="BT56" s="12"/>
      <c r="BU56" s="12"/>
      <c r="BV56" s="12"/>
      <c r="BW56" s="12"/>
      <c r="BX56" s="32"/>
      <c r="BY56" s="33" t="str">
        <f>BY46</f>
        <v>料率</v>
      </c>
      <c r="BZ56" s="33">
        <f>BZ46</f>
        <v>7</v>
      </c>
      <c r="CA56" s="33">
        <f>CA46</f>
        <v>5</v>
      </c>
      <c r="CB56" s="33">
        <f>CB46</f>
        <v>2</v>
      </c>
      <c r="CC56" s="713" t="s">
        <v>467</v>
      </c>
      <c r="CD56" s="4"/>
      <c r="CE56" s="4"/>
      <c r="CF56" s="4"/>
      <c r="CG56" s="4"/>
      <c r="CH56" s="4"/>
      <c r="CI56" s="13"/>
      <c r="CK56" s="280"/>
      <c r="CL56" s="283" t="s">
        <v>194</v>
      </c>
      <c r="CM56" s="288">
        <f t="shared" si="35"/>
        <v>407</v>
      </c>
      <c r="CN56" s="291"/>
      <c r="CO56" s="288">
        <f>IF($CN$59=0,0,IF($CN$59&gt;=2,1,IF($CN$59&lt;=-2,-1,0)))</f>
        <v>1</v>
      </c>
      <c r="CP56" s="288">
        <f t="shared" si="36"/>
        <v>408</v>
      </c>
      <c r="CR56" s="56"/>
    </row>
    <row r="57" spans="1:96" ht="18" customHeight="1">
      <c r="A57" s="1421" t="s">
        <v>0</v>
      </c>
      <c r="B57" s="1448" t="s">
        <v>129</v>
      </c>
      <c r="C57" s="1376">
        <f>入力画面!R34</f>
        <v>0</v>
      </c>
      <c r="D57" s="855" t="s">
        <v>58</v>
      </c>
      <c r="E57" s="1416">
        <f>IF(H60&gt;0,$CE$11, 0)</f>
        <v>0</v>
      </c>
      <c r="F57" s="1380" t="s">
        <v>22</v>
      </c>
      <c r="G57" s="855" t="s">
        <v>59</v>
      </c>
      <c r="H57" s="85">
        <f>IF(H60&gt;0,$CE$7,0)</f>
        <v>0</v>
      </c>
      <c r="I57" s="1277" t="s">
        <v>22</v>
      </c>
      <c r="J57" s="855" t="s">
        <v>59</v>
      </c>
      <c r="K57" s="51">
        <f>入力画面!I33</f>
        <v>0</v>
      </c>
      <c r="L57" s="52" t="s">
        <v>5</v>
      </c>
      <c r="M57" s="1380"/>
      <c r="N57" s="1407"/>
      <c r="O57" s="86"/>
      <c r="P57" s="1377" t="s">
        <v>130</v>
      </c>
      <c r="Q57" s="1377"/>
      <c r="R57" s="1403">
        <f>ROUNDDOWN(IF(((C57-E57)*H57/H58)*K57/K58&lt;0,0,((C57-E57)*H57/H58)*K57/K58),0)</f>
        <v>0</v>
      </c>
      <c r="S57" s="1408" t="s">
        <v>6</v>
      </c>
      <c r="T57" s="72" t="s">
        <v>1</v>
      </c>
      <c r="U57" s="105">
        <f>IF(H60=0,0,K63)</f>
        <v>0</v>
      </c>
      <c r="V57" s="88" t="s">
        <v>6</v>
      </c>
      <c r="W57" s="30" t="s">
        <v>35</v>
      </c>
      <c r="X57" s="29">
        <f t="shared" si="37"/>
        <v>0</v>
      </c>
      <c r="Y57" s="30" t="s">
        <v>40</v>
      </c>
      <c r="Z57" s="31">
        <f>IF($AH$13&gt;0,0,BB57)</f>
        <v>0</v>
      </c>
      <c r="AA57" s="26"/>
      <c r="AB57" s="26"/>
      <c r="AC57" s="494"/>
      <c r="AD57" s="26"/>
      <c r="AE57" s="489"/>
      <c r="AF57" s="1360">
        <f>ROUNDDOWN(IF(((C57-E57)*H57/H58)&lt;0,0,((C57-E57)*H57/H58)),0)</f>
        <v>0</v>
      </c>
      <c r="AG57" s="26"/>
      <c r="AH57" s="26"/>
      <c r="AI57" s="173"/>
      <c r="AJ57" s="173"/>
      <c r="AK57" s="173"/>
      <c r="AL57" s="173"/>
      <c r="AM57" s="173"/>
      <c r="AN57" s="174"/>
      <c r="AO57" s="328" t="s">
        <v>35</v>
      </c>
      <c r="AP57" s="326">
        <f>ROUNDDOWN(AR60/10,-2)</f>
        <v>0</v>
      </c>
      <c r="AQ57" s="327" t="s">
        <v>40</v>
      </c>
      <c r="AR57" s="358">
        <f>ROUNDDOWN(AR60/10,-2)</f>
        <v>0</v>
      </c>
      <c r="AS57" s="173"/>
      <c r="AT57" s="316" t="s">
        <v>35</v>
      </c>
      <c r="AU57" s="377">
        <f t="shared" si="38"/>
        <v>0</v>
      </c>
      <c r="AV57" s="314" t="s">
        <v>40</v>
      </c>
      <c r="AW57" s="378">
        <f>IF($AG$2&gt;0,"限度超過",AR57-BB146-BB235)</f>
        <v>0</v>
      </c>
      <c r="AX57" s="379"/>
      <c r="AY57" s="409" t="s">
        <v>35</v>
      </c>
      <c r="AZ57" s="313">
        <f t="shared" si="39"/>
        <v>0</v>
      </c>
      <c r="BA57" s="314" t="s">
        <v>40</v>
      </c>
      <c r="BB57" s="408">
        <f>AW57</f>
        <v>0</v>
      </c>
      <c r="BC57" s="379"/>
      <c r="BD57" s="451" t="s">
        <v>35</v>
      </c>
      <c r="BE57" s="81">
        <f t="shared" si="40"/>
        <v>0</v>
      </c>
      <c r="BF57" s="82" t="s">
        <v>40</v>
      </c>
      <c r="BG57" s="29">
        <f>BG47</f>
        <v>0</v>
      </c>
      <c r="BH57" s="12"/>
      <c r="BI57" s="30" t="s">
        <v>35</v>
      </c>
      <c r="BJ57" s="29">
        <f t="shared" si="41"/>
        <v>0</v>
      </c>
      <c r="BK57" s="30" t="s">
        <v>40</v>
      </c>
      <c r="BL57" s="29">
        <f>IF($A$87=$L$87,"限度超過",IF(BG57=0,0,BG57/$S$5))</f>
        <v>0</v>
      </c>
      <c r="BM57" s="12"/>
      <c r="BN57" s="30" t="s">
        <v>35</v>
      </c>
      <c r="BO57" s="29">
        <f t="shared" si="42"/>
        <v>0</v>
      </c>
      <c r="BP57" s="30" t="s">
        <v>40</v>
      </c>
      <c r="BQ57" s="460">
        <f>IF($A$87=$L$87,"限度超過",IF($S$5&lt;=4,0,BL57))</f>
        <v>0</v>
      </c>
      <c r="BR57" s="12"/>
      <c r="BS57" s="12"/>
      <c r="BT57" s="12"/>
      <c r="BU57" s="12"/>
      <c r="BV57" s="12"/>
      <c r="BW57" s="12"/>
      <c r="BX57" s="32" t="s">
        <v>17</v>
      </c>
      <c r="BY57" s="44">
        <v>0</v>
      </c>
      <c r="BZ57" s="45">
        <f>$CF$8</f>
        <v>18250</v>
      </c>
      <c r="CA57" s="45">
        <f>$CG$8</f>
        <v>13030</v>
      </c>
      <c r="CB57" s="45">
        <f>$CH$8</f>
        <v>5220</v>
      </c>
      <c r="CC57" s="713"/>
      <c r="CD57" s="4"/>
      <c r="CE57" s="4"/>
      <c r="CF57" s="4"/>
      <c r="CG57" s="4"/>
      <c r="CH57" s="4"/>
      <c r="CI57" s="13"/>
      <c r="CK57" s="280"/>
      <c r="CL57" s="283" t="s">
        <v>195</v>
      </c>
      <c r="CM57" s="288">
        <f t="shared" si="35"/>
        <v>407</v>
      </c>
      <c r="CN57" s="292" t="s">
        <v>206</v>
      </c>
      <c r="CO57" s="288">
        <f>IF($CN$59=0,0,IF($CN$59&gt;=1,1,IF($CN$59&lt;=-1,-1,0)))</f>
        <v>1</v>
      </c>
      <c r="CP57" s="288">
        <f t="shared" si="36"/>
        <v>408</v>
      </c>
      <c r="CR57" s="56"/>
    </row>
    <row r="58" spans="1:96" ht="18" customHeight="1">
      <c r="A58" s="1421"/>
      <c r="B58" s="1448"/>
      <c r="C58" s="1376"/>
      <c r="D58" s="855"/>
      <c r="E58" s="1416"/>
      <c r="F58" s="1380"/>
      <c r="G58" s="855"/>
      <c r="H58" s="39">
        <v>100</v>
      </c>
      <c r="I58" s="1277"/>
      <c r="J58" s="855"/>
      <c r="K58" s="55">
        <v>12</v>
      </c>
      <c r="L58" s="12" t="s">
        <v>5</v>
      </c>
      <c r="M58" s="1380"/>
      <c r="N58" s="1407"/>
      <c r="O58" s="86"/>
      <c r="P58" s="1377"/>
      <c r="Q58" s="1377"/>
      <c r="R58" s="1403"/>
      <c r="S58" s="1408"/>
      <c r="T58" s="72" t="s">
        <v>29</v>
      </c>
      <c r="U58" s="105">
        <f>U56+U57</f>
        <v>0</v>
      </c>
      <c r="V58" s="88" t="s">
        <v>6</v>
      </c>
      <c r="W58" s="30" t="s">
        <v>36</v>
      </c>
      <c r="X58" s="29">
        <f t="shared" si="37"/>
        <v>0</v>
      </c>
      <c r="Y58" s="30" t="s">
        <v>41</v>
      </c>
      <c r="Z58" s="31">
        <f>IF($AH$13&gt;0,0,BB58)</f>
        <v>0</v>
      </c>
      <c r="AA58" s="26"/>
      <c r="AB58" s="26"/>
      <c r="AC58" s="494"/>
      <c r="AD58" s="26"/>
      <c r="AE58" s="489"/>
      <c r="AF58" s="1360"/>
      <c r="AG58" s="26"/>
      <c r="AH58" s="26"/>
      <c r="AI58" s="173"/>
      <c r="AJ58" s="173"/>
      <c r="AK58" s="173"/>
      <c r="AL58" s="173"/>
      <c r="AM58" s="173"/>
      <c r="AN58" s="174"/>
      <c r="AO58" s="328" t="s">
        <v>36</v>
      </c>
      <c r="AP58" s="326">
        <f>ROUNDDOWN(AR60/10,-2)</f>
        <v>0</v>
      </c>
      <c r="AQ58" s="327" t="s">
        <v>41</v>
      </c>
      <c r="AR58" s="358">
        <f>ROUNDDOWN(AR60/10,-2)</f>
        <v>0</v>
      </c>
      <c r="AS58" s="173"/>
      <c r="AT58" s="316" t="s">
        <v>36</v>
      </c>
      <c r="AU58" s="377">
        <f t="shared" si="38"/>
        <v>0</v>
      </c>
      <c r="AV58" s="314" t="s">
        <v>41</v>
      </c>
      <c r="AW58" s="378">
        <f>IF($AG$2&gt;0,"限度超過",AR58-BB147-BB236)</f>
        <v>0</v>
      </c>
      <c r="AX58" s="379"/>
      <c r="AY58" s="409" t="s">
        <v>36</v>
      </c>
      <c r="AZ58" s="313">
        <f t="shared" si="39"/>
        <v>0</v>
      </c>
      <c r="BA58" s="314" t="s">
        <v>41</v>
      </c>
      <c r="BB58" s="408">
        <f>AW58</f>
        <v>0</v>
      </c>
      <c r="BC58" s="379"/>
      <c r="BD58" s="451" t="s">
        <v>36</v>
      </c>
      <c r="BE58" s="81">
        <f t="shared" si="40"/>
        <v>0</v>
      </c>
      <c r="BF58" s="82" t="s">
        <v>41</v>
      </c>
      <c r="BG58" s="29">
        <f>BG48</f>
        <v>0</v>
      </c>
      <c r="BH58" s="12"/>
      <c r="BI58" s="30" t="s">
        <v>36</v>
      </c>
      <c r="BJ58" s="29">
        <f t="shared" si="41"/>
        <v>0</v>
      </c>
      <c r="BK58" s="30" t="s">
        <v>41</v>
      </c>
      <c r="BL58" s="29">
        <f>IF($A$87=$L$87,"限度超過",IF(BG58=0,0,BG58/$S$5))</f>
        <v>0</v>
      </c>
      <c r="BM58" s="12"/>
      <c r="BN58" s="30" t="s">
        <v>36</v>
      </c>
      <c r="BO58" s="29">
        <f t="shared" si="42"/>
        <v>0</v>
      </c>
      <c r="BP58" s="30" t="s">
        <v>41</v>
      </c>
      <c r="BQ58" s="460">
        <f>IF($A$87=$L$87,"限度超過",IF($S$5&lt;=4,0,BL58))</f>
        <v>0</v>
      </c>
      <c r="BR58" s="12"/>
      <c r="BS58" s="12"/>
      <c r="BT58" s="12"/>
      <c r="BU58" s="12"/>
      <c r="BV58" s="12"/>
      <c r="BW58" s="12"/>
      <c r="BX58" s="32" t="s">
        <v>8</v>
      </c>
      <c r="BY58" s="45">
        <f>K60</f>
        <v>0</v>
      </c>
      <c r="BZ58" s="45">
        <f t="shared" ref="BZ58:CB60" si="43">BY58</f>
        <v>0</v>
      </c>
      <c r="CA58" s="45">
        <f t="shared" si="43"/>
        <v>0</v>
      </c>
      <c r="CB58" s="45">
        <f t="shared" si="43"/>
        <v>0</v>
      </c>
      <c r="CC58" s="713">
        <f>CB58</f>
        <v>0</v>
      </c>
      <c r="CD58" s="4"/>
      <c r="CE58" s="4"/>
      <c r="CF58" s="4"/>
      <c r="CG58" s="4"/>
      <c r="CH58" s="4"/>
      <c r="CI58" s="13"/>
      <c r="CK58" s="280"/>
      <c r="CL58" s="283"/>
      <c r="CM58" s="302" t="s">
        <v>208</v>
      </c>
      <c r="CN58" s="293" t="s">
        <v>210</v>
      </c>
      <c r="CO58" s="291"/>
      <c r="CP58" s="291"/>
      <c r="CR58" s="56"/>
    </row>
    <row r="59" spans="1:96" ht="18" customHeight="1">
      <c r="A59" s="165"/>
      <c r="B59" s="12"/>
      <c r="C59" s="50"/>
      <c r="D59" s="12"/>
      <c r="E59" s="12"/>
      <c r="F59" s="12"/>
      <c r="G59" s="12"/>
      <c r="H59" s="91"/>
      <c r="I59" s="75"/>
      <c r="J59" s="75"/>
      <c r="K59" s="92"/>
      <c r="L59" s="75"/>
      <c r="M59" s="93"/>
      <c r="N59" s="714" t="str">
        <f>IF(入力画面!E32=1,"未就学児",0)</f>
        <v>未就学児</v>
      </c>
      <c r="O59" s="42">
        <f>IF(H60=0,0,$D$5)</f>
        <v>0</v>
      </c>
      <c r="P59" s="466">
        <f>IF(O60=0,0,"軽減額")</f>
        <v>0</v>
      </c>
      <c r="Q59" s="12"/>
      <c r="R59" s="95"/>
      <c r="S59" s="49"/>
      <c r="T59" s="96" t="s">
        <v>31</v>
      </c>
      <c r="U59" s="105">
        <f>ROUNDDOWN(U58,-2)</f>
        <v>0</v>
      </c>
      <c r="V59" s="88" t="s">
        <v>6</v>
      </c>
      <c r="W59" s="30" t="s">
        <v>43</v>
      </c>
      <c r="X59" s="29">
        <f t="shared" si="37"/>
        <v>0</v>
      </c>
      <c r="Y59" s="30" t="s">
        <v>42</v>
      </c>
      <c r="Z59" s="31">
        <f>IF($AH$13&gt;0,0,BB59)</f>
        <v>0</v>
      </c>
      <c r="AA59" s="4"/>
      <c r="AB59" s="4"/>
      <c r="AC59" s="492"/>
      <c r="AD59" s="4"/>
      <c r="AE59" s="500" t="str">
        <f>IF($AH$13&gt;0,"－",IF($AG$2&gt;0,"限度超過",IF(U60=Z60,"OK","ｱﾝﾏｯﾁ")))</f>
        <v>OK</v>
      </c>
      <c r="AF59" s="499"/>
      <c r="AG59" s="4"/>
      <c r="AI59" s="174"/>
      <c r="AJ59" s="174"/>
      <c r="AK59" s="174"/>
      <c r="AL59" s="174"/>
      <c r="AM59" s="174"/>
      <c r="AN59" s="174"/>
      <c r="AO59" s="328" t="s">
        <v>43</v>
      </c>
      <c r="AP59" s="326">
        <f>ROUNDDOWN(AR60/10,-2)</f>
        <v>0</v>
      </c>
      <c r="AQ59" s="327" t="s">
        <v>42</v>
      </c>
      <c r="AR59" s="358">
        <f>ROUNDDOWN(AR60/10,-2)</f>
        <v>0</v>
      </c>
      <c r="AS59" s="174"/>
      <c r="AT59" s="316" t="s">
        <v>43</v>
      </c>
      <c r="AU59" s="377">
        <f t="shared" si="38"/>
        <v>0</v>
      </c>
      <c r="AV59" s="314" t="s">
        <v>42</v>
      </c>
      <c r="AW59" s="378">
        <f>IF($AG$2&gt;0,"限度超過",AR59-BB148-BB237)</f>
        <v>0</v>
      </c>
      <c r="AX59" s="379"/>
      <c r="AY59" s="409" t="s">
        <v>43</v>
      </c>
      <c r="AZ59" s="313">
        <f t="shared" si="39"/>
        <v>0</v>
      </c>
      <c r="BA59" s="314" t="s">
        <v>42</v>
      </c>
      <c r="BB59" s="408">
        <f>AW59</f>
        <v>0</v>
      </c>
      <c r="BC59" s="379"/>
      <c r="BD59" s="451" t="s">
        <v>43</v>
      </c>
      <c r="BE59" s="81">
        <f t="shared" si="40"/>
        <v>0</v>
      </c>
      <c r="BF59" s="82" t="s">
        <v>42</v>
      </c>
      <c r="BG59" s="29">
        <f>BG49</f>
        <v>0</v>
      </c>
      <c r="BH59" s="12"/>
      <c r="BI59" s="30" t="s">
        <v>43</v>
      </c>
      <c r="BJ59" s="29">
        <f t="shared" si="41"/>
        <v>0</v>
      </c>
      <c r="BK59" s="30" t="s">
        <v>42</v>
      </c>
      <c r="BL59" s="29">
        <f>IF($A$87=$L$87,"限度超過",IF(BG59=0,0,BG59/$S$5))</f>
        <v>0</v>
      </c>
      <c r="BM59" s="12"/>
      <c r="BN59" s="30" t="s">
        <v>43</v>
      </c>
      <c r="BO59" s="29">
        <f t="shared" si="42"/>
        <v>0</v>
      </c>
      <c r="BP59" s="30" t="s">
        <v>42</v>
      </c>
      <c r="BQ59" s="460">
        <f>IF($A$87=$L$87,"限度超過",IF($S$5&lt;=4,0,BL59))</f>
        <v>0</v>
      </c>
      <c r="BR59" s="12"/>
      <c r="BS59" s="12"/>
      <c r="BT59" s="12"/>
      <c r="BU59" s="12"/>
      <c r="BV59" s="12"/>
      <c r="BW59" s="12"/>
      <c r="BX59" s="32" t="s">
        <v>25</v>
      </c>
      <c r="BY59" s="45">
        <f>K61</f>
        <v>0</v>
      </c>
      <c r="BZ59" s="45">
        <f t="shared" si="43"/>
        <v>0</v>
      </c>
      <c r="CA59" s="45">
        <f t="shared" si="43"/>
        <v>0</v>
      </c>
      <c r="CB59" s="45">
        <f t="shared" si="43"/>
        <v>0</v>
      </c>
      <c r="CC59" s="713">
        <f>CB59</f>
        <v>0</v>
      </c>
      <c r="CD59" s="4"/>
      <c r="CE59" s="4"/>
      <c r="CF59" s="4"/>
      <c r="CG59" s="4"/>
      <c r="CH59" s="4"/>
      <c r="CI59" s="13"/>
      <c r="CK59" s="280"/>
      <c r="CL59" s="283" t="s">
        <v>205</v>
      </c>
      <c r="CM59" s="288">
        <f>SUM(CM48:CM57)</f>
        <v>4096</v>
      </c>
      <c r="CN59" s="288">
        <f>CM47-CM59</f>
        <v>4</v>
      </c>
      <c r="CO59" s="291"/>
      <c r="CP59" s="291"/>
      <c r="CR59" s="56"/>
    </row>
    <row r="60" spans="1:96" ht="18" customHeight="1">
      <c r="A60" s="1421" t="s">
        <v>10</v>
      </c>
      <c r="B60" s="12"/>
      <c r="C60" s="12"/>
      <c r="D60" s="1419" t="s">
        <v>7</v>
      </c>
      <c r="E60" s="1416">
        <f>IF(H60&gt;0,$CE$8,0)</f>
        <v>0</v>
      </c>
      <c r="F60" s="97"/>
      <c r="G60" s="855" t="s">
        <v>59</v>
      </c>
      <c r="H60" s="1413">
        <f>IF(B55=0,0,SUBTOTAL(3,B55))</f>
        <v>0</v>
      </c>
      <c r="I60" s="1277" t="s">
        <v>22</v>
      </c>
      <c r="J60" s="855" t="s">
        <v>59</v>
      </c>
      <c r="K60" s="51">
        <f>IF(H60&gt;0,K57,0)</f>
        <v>0</v>
      </c>
      <c r="L60" s="52" t="s">
        <v>5</v>
      </c>
      <c r="M60" s="1407" t="s">
        <v>122</v>
      </c>
      <c r="N60" s="1402">
        <f>IF(O60=0,0,"―")</f>
        <v>0</v>
      </c>
      <c r="O60" s="1404">
        <f>IF(H60=0,0,IF(BY62=0,IF($D$5=7,BZ61,IF($D$5=5,CA61,IF($D$5=2,CB61,CC61))),IF($D$5=7,BZ61+BZ62,IF($D$5=5,CA61+CA62,IF($D$5=2,CB61+CB62,CC61+CC62)))))</f>
        <v>0</v>
      </c>
      <c r="P60" s="1405"/>
      <c r="Q60" s="1377" t="s">
        <v>130</v>
      </c>
      <c r="R60" s="1403">
        <f>IF(H60&gt;0,IF(K57=0,0,ROUNDDOWN(((E60*H60)*K60/K61)-O60,0)),0)</f>
        <v>0</v>
      </c>
      <c r="S60" s="1381" t="s">
        <v>6</v>
      </c>
      <c r="T60" s="1388" t="s">
        <v>32</v>
      </c>
      <c r="U60" s="1387">
        <f>IF($L$87=$A$87,"限度超過!",U58)</f>
        <v>0</v>
      </c>
      <c r="V60" s="1389" t="s">
        <v>6</v>
      </c>
      <c r="W60" s="30" t="s">
        <v>37</v>
      </c>
      <c r="X60" s="29">
        <f t="shared" si="37"/>
        <v>0</v>
      </c>
      <c r="Y60" s="1199" t="s">
        <v>44</v>
      </c>
      <c r="Z60" s="1394">
        <f>IF($AH$13&gt;0,0,BB60)</f>
        <v>0</v>
      </c>
      <c r="AB60" s="4"/>
      <c r="AC60" s="492"/>
      <c r="AD60" s="4"/>
      <c r="AE60" s="500" t="str">
        <f>IF($AG$2&gt;0,"限度超過",IF(X56+X57+X58+X59+X60+X61+Z56+Z57+Z58+Z59=Z60,"OK","エラー"))</f>
        <v>OK</v>
      </c>
      <c r="AF60" s="1361">
        <f>IF(H60&gt;0,IF(K57=0,0,ROUNDDOWN((E60*H60)-O60,0)),0)</f>
        <v>0</v>
      </c>
      <c r="AG60" s="4"/>
      <c r="AI60" s="174"/>
      <c r="AJ60" s="174"/>
      <c r="AK60" s="174"/>
      <c r="AL60" s="174"/>
      <c r="AM60" s="174"/>
      <c r="AN60" s="174"/>
      <c r="AO60" s="328" t="s">
        <v>37</v>
      </c>
      <c r="AP60" s="326">
        <f>ROUNDDOWN(AR60/10,-2)</f>
        <v>0</v>
      </c>
      <c r="AQ60" s="329" t="s">
        <v>44</v>
      </c>
      <c r="AR60" s="330">
        <f>IF($AG$2&gt;0,0,IF($AH$13&gt;0,0,U60+U149+U238))</f>
        <v>0</v>
      </c>
      <c r="AS60" s="174"/>
      <c r="AT60" s="316" t="s">
        <v>37</v>
      </c>
      <c r="AU60" s="377">
        <f t="shared" si="38"/>
        <v>0</v>
      </c>
      <c r="AV60" s="317" t="s">
        <v>44</v>
      </c>
      <c r="AW60" s="315">
        <f>IF($AG$2&gt;0,"限度超過",AU56+AU57+AU58+AU59+AU60+AU61+AW56+AW57+AW58+AW59)</f>
        <v>0</v>
      </c>
      <c r="AX60" s="379"/>
      <c r="AY60" s="409" t="s">
        <v>37</v>
      </c>
      <c r="AZ60" s="313">
        <f t="shared" si="39"/>
        <v>0</v>
      </c>
      <c r="BA60" s="317" t="s">
        <v>44</v>
      </c>
      <c r="BB60" s="408">
        <f>AW60</f>
        <v>0</v>
      </c>
      <c r="BC60" s="379"/>
      <c r="BD60" s="451" t="s">
        <v>37</v>
      </c>
      <c r="BE60" s="81">
        <f t="shared" si="40"/>
        <v>0</v>
      </c>
      <c r="BF60" s="443" t="s">
        <v>44</v>
      </c>
      <c r="BG60" s="29">
        <f>IF($A$87=$L$87,"限度超過",BE56+BE57+BE58+BE59+BE60+BE61+BG56+BG57+BG58+BG59)</f>
        <v>0</v>
      </c>
      <c r="BH60" s="12"/>
      <c r="BI60" s="30" t="s">
        <v>37</v>
      </c>
      <c r="BJ60" s="29">
        <f t="shared" si="41"/>
        <v>0</v>
      </c>
      <c r="BK60" s="98" t="s">
        <v>44</v>
      </c>
      <c r="BL60" s="29">
        <f>IF($A$87=$L$87,"限度超過",BJ56+BJ57+BJ58+BJ59+BJ60+BJ61+BL56+BL57+BL58+BL59)</f>
        <v>0</v>
      </c>
      <c r="BM60" s="12"/>
      <c r="BN60" s="30" t="s">
        <v>37</v>
      </c>
      <c r="BO60" s="29">
        <f t="shared" si="42"/>
        <v>0</v>
      </c>
      <c r="BP60" s="98" t="s">
        <v>44</v>
      </c>
      <c r="BQ60" s="460">
        <f>IF($A$87=$L$87,"限度超過",BO56+BO57+BO58+BO59+BO60+BO61+BQ56+BQ57+BQ58+BQ59)</f>
        <v>0</v>
      </c>
      <c r="BR60" s="12"/>
      <c r="BS60" s="12"/>
      <c r="BT60" s="12"/>
      <c r="BU60" s="12"/>
      <c r="BV60" s="12"/>
      <c r="BW60" s="12"/>
      <c r="BX60" s="32" t="s">
        <v>26</v>
      </c>
      <c r="BY60" s="26">
        <f>H60</f>
        <v>0</v>
      </c>
      <c r="BZ60" s="99">
        <f t="shared" si="43"/>
        <v>0</v>
      </c>
      <c r="CA60" s="99">
        <f t="shared" si="43"/>
        <v>0</v>
      </c>
      <c r="CB60" s="99">
        <f t="shared" si="43"/>
        <v>0</v>
      </c>
      <c r="CC60" s="713">
        <f>CB60</f>
        <v>0</v>
      </c>
      <c r="CD60" s="4"/>
      <c r="CE60" s="4"/>
      <c r="CF60" s="4"/>
      <c r="CG60" s="4"/>
      <c r="CH60" s="4"/>
      <c r="CI60" s="13"/>
      <c r="CK60" s="280"/>
      <c r="CL60" s="283"/>
      <c r="CM60" s="304" t="s">
        <v>211</v>
      </c>
      <c r="CN60" s="291"/>
      <c r="CO60" s="291"/>
      <c r="CP60" s="291"/>
      <c r="CR60" s="56"/>
    </row>
    <row r="61" spans="1:96" ht="18" customHeight="1">
      <c r="A61" s="1421"/>
      <c r="B61" s="12"/>
      <c r="C61" s="12"/>
      <c r="D61" s="1419"/>
      <c r="E61" s="1416"/>
      <c r="F61" s="12"/>
      <c r="G61" s="855"/>
      <c r="H61" s="1413"/>
      <c r="I61" s="1277"/>
      <c r="J61" s="855"/>
      <c r="K61" s="180">
        <f>IF(H60&gt;0,K58,0)</f>
        <v>0</v>
      </c>
      <c r="L61" s="12" t="s">
        <v>5</v>
      </c>
      <c r="M61" s="1407"/>
      <c r="N61" s="1402"/>
      <c r="O61" s="1405"/>
      <c r="P61" s="1405"/>
      <c r="Q61" s="1377"/>
      <c r="R61" s="1403"/>
      <c r="S61" s="1381"/>
      <c r="T61" s="1388"/>
      <c r="U61" s="1387"/>
      <c r="V61" s="1389"/>
      <c r="W61" s="30" t="s">
        <v>38</v>
      </c>
      <c r="X61" s="29">
        <f t="shared" si="37"/>
        <v>0</v>
      </c>
      <c r="Y61" s="1368"/>
      <c r="Z61" s="1395"/>
      <c r="AA61" s="73"/>
      <c r="AB61" s="73"/>
      <c r="AC61" s="225"/>
      <c r="AD61" s="73"/>
      <c r="AE61" s="73"/>
      <c r="AF61" s="1360"/>
      <c r="AG61" s="73"/>
      <c r="AH61" s="191"/>
      <c r="AI61" s="175"/>
      <c r="AJ61" s="175"/>
      <c r="AK61" s="175"/>
      <c r="AL61" s="175"/>
      <c r="AM61" s="175"/>
      <c r="AN61" s="174"/>
      <c r="AO61" s="328" t="s">
        <v>38</v>
      </c>
      <c r="AP61" s="326">
        <f>ROUNDDOWN(AR60/10,-2)</f>
        <v>0</v>
      </c>
      <c r="AQ61" s="327"/>
      <c r="AR61" s="331"/>
      <c r="AS61" s="175"/>
      <c r="AT61" s="316" t="s">
        <v>38</v>
      </c>
      <c r="AU61" s="377">
        <f t="shared" si="38"/>
        <v>0</v>
      </c>
      <c r="AV61" s="314" t="s">
        <v>75</v>
      </c>
      <c r="AW61" s="332">
        <f>IF($AG$2&gt;0,"限度超過",U60)</f>
        <v>0</v>
      </c>
      <c r="AX61" s="379"/>
      <c r="AY61" s="409" t="s">
        <v>38</v>
      </c>
      <c r="AZ61" s="313">
        <f t="shared" si="39"/>
        <v>0</v>
      </c>
      <c r="BA61" s="314"/>
      <c r="BB61" s="410"/>
      <c r="BC61" s="379"/>
      <c r="BD61" s="451" t="s">
        <v>38</v>
      </c>
      <c r="BE61" s="81">
        <f t="shared" si="40"/>
        <v>0</v>
      </c>
      <c r="BF61" s="82"/>
      <c r="BG61" s="100"/>
      <c r="BH61" s="12"/>
      <c r="BI61" s="30" t="s">
        <v>38</v>
      </c>
      <c r="BJ61" s="29">
        <f t="shared" si="41"/>
        <v>0</v>
      </c>
      <c r="BK61" s="30"/>
      <c r="BL61" s="100"/>
      <c r="BM61" s="12"/>
      <c r="BN61" s="30" t="s">
        <v>38</v>
      </c>
      <c r="BO61" s="29">
        <f t="shared" si="42"/>
        <v>0</v>
      </c>
      <c r="BP61" s="30"/>
      <c r="BQ61" s="461"/>
      <c r="BR61" s="12"/>
      <c r="BS61" s="12"/>
      <c r="BT61" s="12"/>
      <c r="BU61" s="12"/>
      <c r="BV61" s="12"/>
      <c r="BW61" s="12"/>
      <c r="BX61" s="67" t="s">
        <v>27</v>
      </c>
      <c r="BY61" s="45">
        <f>IF(BY60&gt;0,ROUNDDOWN(BY57*BY60*BY58/BY59,0),0)</f>
        <v>0</v>
      </c>
      <c r="BZ61" s="45">
        <f>IF(BZ60&gt;0,ROUNDDOWN(BZ57*BZ60*BZ58/BZ59,0),0)</f>
        <v>0</v>
      </c>
      <c r="CA61" s="45">
        <f>IF(CA60&gt;0,ROUNDDOWN(CA57*CA60*CA58/CA59,0),0)</f>
        <v>0</v>
      </c>
      <c r="CB61" s="45">
        <f>IF(CB60&gt;0,ROUNDDOWN(CB57*CB60*CB58/CB59,0),0)</f>
        <v>0</v>
      </c>
      <c r="CC61" s="713">
        <v>0</v>
      </c>
      <c r="CD61" s="4"/>
      <c r="CE61" s="4"/>
      <c r="CF61" s="4"/>
      <c r="CG61" s="4"/>
      <c r="CH61" s="4"/>
      <c r="CI61" s="13"/>
      <c r="CJ61" s="56"/>
      <c r="CK61" s="281"/>
      <c r="CL61" s="284"/>
      <c r="CM61" s="303" t="s">
        <v>184</v>
      </c>
      <c r="CN61" s="299"/>
      <c r="CO61" s="299"/>
      <c r="CP61" s="299"/>
      <c r="CR61" s="56"/>
    </row>
    <row r="62" spans="1:96" ht="18" customHeight="1">
      <c r="A62" s="202"/>
      <c r="B62" s="75" t="s">
        <v>118</v>
      </c>
      <c r="C62" s="12"/>
      <c r="D62" s="160"/>
      <c r="E62" s="161"/>
      <c r="F62" s="12"/>
      <c r="G62" s="50"/>
      <c r="H62" s="162"/>
      <c r="I62" s="159"/>
      <c r="J62" s="50"/>
      <c r="K62" s="180"/>
      <c r="L62" s="12"/>
      <c r="M62" s="86"/>
      <c r="N62" s="86"/>
      <c r="O62" s="181"/>
      <c r="P62" s="181"/>
      <c r="Q62" s="156"/>
      <c r="R62" s="157"/>
      <c r="S62" s="49"/>
      <c r="T62" s="50"/>
      <c r="U62" s="182"/>
      <c r="V62" s="50"/>
      <c r="W62" s="4"/>
      <c r="X62" s="26"/>
      <c r="Y62" s="170"/>
      <c r="Z62" s="187"/>
      <c r="AA62" s="26"/>
      <c r="AB62" s="26"/>
      <c r="AC62" s="494"/>
      <c r="AD62" s="26"/>
      <c r="AE62" s="489"/>
      <c r="AF62" s="236"/>
      <c r="AG62" s="26"/>
      <c r="AH62" s="26"/>
      <c r="AI62" s="173"/>
      <c r="AJ62" s="179"/>
      <c r="AK62" s="179"/>
      <c r="AL62" s="179"/>
      <c r="AM62" s="179"/>
      <c r="AN62" s="174"/>
      <c r="AO62" s="486"/>
      <c r="AP62" s="486"/>
      <c r="AQ62" s="487"/>
      <c r="AR62" s="487"/>
      <c r="AS62" s="179"/>
      <c r="AT62" s="381"/>
      <c r="AU62" s="472">
        <f>IF($AG$2&gt;0,"限度超過",0)</f>
        <v>0</v>
      </c>
      <c r="AV62" s="380"/>
      <c r="AW62" s="382" t="str">
        <f>IF(AW60=AW61,"OK","エラー")</f>
        <v>OK</v>
      </c>
      <c r="AX62" s="379"/>
      <c r="AY62" s="411"/>
      <c r="AZ62" s="320"/>
      <c r="BA62" s="319"/>
      <c r="BB62" s="412"/>
      <c r="BC62" s="379"/>
      <c r="BD62" s="452"/>
      <c r="BE62" s="26"/>
      <c r="BF62" s="4" t="s">
        <v>260</v>
      </c>
      <c r="BH62" s="12"/>
      <c r="BJ62" s="26"/>
      <c r="BM62" s="12"/>
      <c r="BO62" s="26"/>
      <c r="BQ62" s="462"/>
      <c r="BR62" s="12"/>
      <c r="BS62" s="12"/>
      <c r="BT62" s="12"/>
      <c r="BU62" s="12"/>
      <c r="BV62" s="12"/>
      <c r="BW62" s="12"/>
      <c r="BX62" s="32" t="s">
        <v>468</v>
      </c>
      <c r="BY62" s="713">
        <f>IF(入力画面!E32=1,1,0)</f>
        <v>1</v>
      </c>
      <c r="BZ62" s="713" t="e">
        <f>IF($BY$62=1,ROUNDDOWN(CF12*BZ58/BZ59,0),0)</f>
        <v>#DIV/0!</v>
      </c>
      <c r="CA62" s="713" t="e">
        <f>IF($BY$62=1,ROUNDDOWN(CG12*CA58/CA59,0),0)</f>
        <v>#DIV/0!</v>
      </c>
      <c r="CB62" s="713" t="e">
        <f>IF($BY$62=1,ROUNDDOWN(CH12*CB58/CB59,0),0)</f>
        <v>#DIV/0!</v>
      </c>
      <c r="CC62" s="713" t="e">
        <f>IF($BY$62=1,ROUNDDOWN(CE12*CC58/CC59,0),0)</f>
        <v>#DIV/0!</v>
      </c>
      <c r="CD62" s="4"/>
      <c r="CE62" s="4"/>
      <c r="CF62" s="4"/>
      <c r="CG62" s="4"/>
      <c r="CH62" s="4"/>
      <c r="CI62" s="13"/>
      <c r="CK62" s="12"/>
      <c r="CL62" s="50"/>
      <c r="CM62" s="306"/>
      <c r="CN62" s="307"/>
      <c r="CO62" s="301"/>
      <c r="CR62" s="56"/>
    </row>
    <row r="63" spans="1:96" ht="18" customHeight="1">
      <c r="A63" s="58" t="s">
        <v>1</v>
      </c>
      <c r="B63" s="52"/>
      <c r="C63" s="189">
        <f>IF(H60&gt;0,$X$13,0)</f>
        <v>0</v>
      </c>
      <c r="D63" s="203" t="s">
        <v>6</v>
      </c>
      <c r="E63" s="60" t="s">
        <v>131</v>
      </c>
      <c r="F63" s="1204">
        <f>K57</f>
        <v>0</v>
      </c>
      <c r="G63" s="1204"/>
      <c r="H63" s="216" t="s">
        <v>5</v>
      </c>
      <c r="I63" s="1451" t="s">
        <v>14</v>
      </c>
      <c r="J63" s="1451"/>
      <c r="K63" s="1204">
        <f>C63*F63</f>
        <v>0</v>
      </c>
      <c r="L63" s="1204"/>
      <c r="M63" s="204" t="s">
        <v>6</v>
      </c>
      <c r="N63" s="204"/>
      <c r="O63" s="205"/>
      <c r="P63" s="205"/>
      <c r="Q63" s="63"/>
      <c r="R63" s="206"/>
      <c r="S63" s="59"/>
      <c r="T63" s="27"/>
      <c r="U63" s="207"/>
      <c r="V63" s="27"/>
      <c r="W63" s="188"/>
      <c r="X63" s="189"/>
      <c r="Y63" s="208"/>
      <c r="Z63" s="163"/>
      <c r="AA63" s="26"/>
      <c r="AB63" s="26"/>
      <c r="AC63" s="494"/>
      <c r="AD63" s="26"/>
      <c r="AE63" s="489"/>
      <c r="AF63" s="237"/>
      <c r="AG63" s="26"/>
      <c r="AH63" s="26"/>
      <c r="AI63" s="173"/>
      <c r="AJ63" s="179"/>
      <c r="AK63" s="179"/>
      <c r="AL63" s="179"/>
      <c r="AM63" s="179"/>
      <c r="AN63" s="174"/>
      <c r="AO63" s="1322" t="s">
        <v>255</v>
      </c>
      <c r="AP63" s="1322"/>
      <c r="AQ63" s="487"/>
      <c r="AR63" s="487"/>
      <c r="AS63" s="179"/>
      <c r="AT63" s="1306" t="s">
        <v>248</v>
      </c>
      <c r="AU63" s="1306"/>
      <c r="AV63" s="384"/>
      <c r="AW63" s="384"/>
      <c r="AX63" s="379"/>
      <c r="AY63" s="1307" t="s">
        <v>248</v>
      </c>
      <c r="AZ63" s="1306"/>
      <c r="BA63" s="319"/>
      <c r="BB63" s="412"/>
      <c r="BC63" s="379"/>
      <c r="BD63" s="452"/>
      <c r="BE63" s="26"/>
      <c r="BF63" s="4" t="s">
        <v>261</v>
      </c>
      <c r="BH63" s="12"/>
      <c r="BJ63" s="26"/>
      <c r="BM63" s="12"/>
      <c r="BO63" s="26"/>
      <c r="BQ63" s="462"/>
      <c r="BR63" s="12"/>
      <c r="BS63" s="12"/>
      <c r="BT63" s="12"/>
      <c r="BU63" s="12"/>
      <c r="BV63" s="12"/>
      <c r="BW63" s="12"/>
      <c r="BX63" s="4"/>
      <c r="BY63" s="26"/>
      <c r="BZ63" s="26"/>
      <c r="CA63" s="26"/>
      <c r="CB63" s="26"/>
      <c r="CC63" s="4"/>
      <c r="CD63" s="4"/>
      <c r="CE63" s="4"/>
      <c r="CF63" s="4"/>
      <c r="CG63" s="4"/>
      <c r="CH63" s="4"/>
      <c r="CI63" s="13"/>
      <c r="CK63" s="1331" t="s">
        <v>200</v>
      </c>
      <c r="CL63" s="1159" t="s">
        <v>197</v>
      </c>
      <c r="CM63" s="1333" t="s">
        <v>180</v>
      </c>
      <c r="CN63" s="295" t="s">
        <v>176</v>
      </c>
      <c r="CO63" s="1344" t="s">
        <v>216</v>
      </c>
      <c r="CP63" s="1342" t="s">
        <v>207</v>
      </c>
      <c r="CR63" s="56"/>
    </row>
    <row r="64" spans="1:96" ht="18" customHeight="1">
      <c r="D64" s="101"/>
      <c r="E64" s="70"/>
      <c r="G64" s="9"/>
      <c r="H64" s="102"/>
      <c r="I64" s="5"/>
      <c r="J64" s="9"/>
      <c r="K64" s="18"/>
      <c r="M64" s="103"/>
      <c r="P64" s="103"/>
      <c r="Q64" s="70"/>
      <c r="R64" s="104"/>
      <c r="S64" s="68"/>
      <c r="T64" s="68"/>
      <c r="U64" s="68"/>
      <c r="V64" s="18"/>
      <c r="AA64" s="26"/>
      <c r="AB64" s="26"/>
      <c r="AC64" s="494"/>
      <c r="AD64" s="26"/>
      <c r="AE64" s="489"/>
      <c r="AF64" s="233"/>
      <c r="AG64" s="26"/>
      <c r="AH64" s="26"/>
      <c r="AI64" s="173"/>
      <c r="AJ64" s="173"/>
      <c r="AK64" s="173"/>
      <c r="AL64" s="173"/>
      <c r="AM64" s="173"/>
      <c r="AN64" s="174"/>
      <c r="AO64" s="324" t="s">
        <v>45</v>
      </c>
      <c r="AP64" s="346" t="s">
        <v>214</v>
      </c>
      <c r="AQ64" s="1323" t="s">
        <v>213</v>
      </c>
      <c r="AR64" s="1323"/>
      <c r="AS64" s="173"/>
      <c r="AT64" s="1310" t="s">
        <v>242</v>
      </c>
      <c r="AU64" s="1310"/>
      <c r="AV64" s="1310"/>
      <c r="AW64" s="1310"/>
      <c r="AX64" s="379"/>
      <c r="AY64" s="406" t="s">
        <v>257</v>
      </c>
      <c r="AZ64" s="1308" t="s">
        <v>258</v>
      </c>
      <c r="BA64" s="1308"/>
      <c r="BB64" s="1309"/>
      <c r="BC64" s="379"/>
      <c r="BD64" s="1267" t="s">
        <v>259</v>
      </c>
      <c r="BE64" s="1268"/>
      <c r="BF64" s="1268"/>
      <c r="BG64" s="1268"/>
      <c r="BH64" s="12"/>
      <c r="BI64" s="440" t="s">
        <v>262</v>
      </c>
      <c r="BJ64" s="1269" t="s">
        <v>263</v>
      </c>
      <c r="BK64" s="1269"/>
      <c r="BL64" s="1269"/>
      <c r="BM64" s="12"/>
      <c r="BO64" s="143" t="s">
        <v>126</v>
      </c>
      <c r="BP64" s="12" t="s">
        <v>88</v>
      </c>
      <c r="BQ64" s="449"/>
      <c r="BR64" s="12"/>
      <c r="BS64" s="12"/>
      <c r="BT64" s="12"/>
      <c r="BU64" s="12"/>
      <c r="BV64" s="12"/>
      <c r="BW64" s="12"/>
      <c r="BX64" s="4"/>
      <c r="BY64" s="4"/>
      <c r="BZ64" s="4"/>
      <c r="CA64" s="4"/>
      <c r="CB64" s="4"/>
      <c r="CC64" s="4"/>
      <c r="CD64" s="4"/>
      <c r="CE64" s="4"/>
      <c r="CF64" s="4"/>
      <c r="CG64" s="4"/>
      <c r="CH64" s="4"/>
      <c r="CI64" s="13"/>
      <c r="CK64" s="1332"/>
      <c r="CL64" s="1160"/>
      <c r="CM64" s="1334"/>
      <c r="CN64" s="303" t="s">
        <v>181</v>
      </c>
      <c r="CO64" s="1345"/>
      <c r="CP64" s="1343"/>
      <c r="CR64" s="56"/>
    </row>
    <row r="65" spans="1:96" ht="18" customHeight="1">
      <c r="A65" s="196" t="s">
        <v>45</v>
      </c>
      <c r="B65" s="1382">
        <f>入力画面!C37</f>
        <v>0</v>
      </c>
      <c r="C65" s="1382"/>
      <c r="D65" s="1382"/>
      <c r="E65" s="198" t="s">
        <v>11</v>
      </c>
      <c r="F65" s="1412" t="s">
        <v>57</v>
      </c>
      <c r="G65" s="1412"/>
      <c r="H65" s="1412"/>
      <c r="I65" s="1449">
        <f>IF(入力画面!I40&gt;0,1,0)</f>
        <v>0</v>
      </c>
      <c r="J65" s="1450"/>
      <c r="K65" s="1373">
        <f>IF(H70=0,0,IF($K$8=0, "加入月が未入力です!！",IF($L$87=$A$87,"限度超過額に達しているため計算不可能!!",IF(U67-U66=U68,"エラー名前を入力されているが加入月未入力!！",IF(H70&gt;K67,"加入月未入力エラー!！",0)))))</f>
        <v>0</v>
      </c>
      <c r="L65" s="1374"/>
      <c r="M65" s="1374"/>
      <c r="N65" s="1374"/>
      <c r="O65" s="1374"/>
      <c r="P65" s="1374"/>
      <c r="Q65" s="1374"/>
      <c r="R65" s="1374"/>
      <c r="S65" s="1375"/>
      <c r="T65" s="197" t="s">
        <v>47</v>
      </c>
      <c r="U65" s="1383">
        <f>IF(U70&gt;0,"医療分",0)</f>
        <v>0</v>
      </c>
      <c r="V65" s="1384"/>
      <c r="W65" s="1385" t="s">
        <v>46</v>
      </c>
      <c r="X65" s="1164"/>
      <c r="Y65" s="1164"/>
      <c r="Z65" s="1165"/>
      <c r="AA65" s="26"/>
      <c r="AB65" s="26"/>
      <c r="AC65" s="494"/>
      <c r="AD65" s="26"/>
      <c r="AE65" s="489"/>
      <c r="AF65" s="238" t="s">
        <v>117</v>
      </c>
      <c r="AG65" s="26"/>
      <c r="AH65" s="276">
        <f>IF(K67=0,0,IF(K67&lt;12,1,0))</f>
        <v>0</v>
      </c>
      <c r="AI65" s="173"/>
      <c r="AJ65" s="173"/>
      <c r="AK65" s="173"/>
      <c r="AL65" s="173"/>
      <c r="AM65" s="173"/>
      <c r="AN65" s="369" t="s">
        <v>149</v>
      </c>
      <c r="AO65" s="1324" t="s">
        <v>46</v>
      </c>
      <c r="AP65" s="1325"/>
      <c r="AQ65" s="1399">
        <f>IF(R67+R70=0,0,IF(K68&gt;K67,"期割がアンマッチ使用禁止↓",0))</f>
        <v>0</v>
      </c>
      <c r="AR65" s="1400"/>
      <c r="AS65" s="173"/>
      <c r="AT65" s="1311" t="s">
        <v>46</v>
      </c>
      <c r="AU65" s="1312"/>
      <c r="AV65" s="1313"/>
      <c r="AW65" s="1314"/>
      <c r="AX65" s="379"/>
      <c r="AY65" s="1319" t="s">
        <v>46</v>
      </c>
      <c r="AZ65" s="1312"/>
      <c r="BA65" s="1313">
        <f>IF($R$17+$R70=0,0,IF($K$18&gt;$K$17,"期割がアンマッチ使用禁止↓",0))</f>
        <v>0</v>
      </c>
      <c r="BB65" s="1346"/>
      <c r="BC65" s="379"/>
      <c r="BD65" s="1272" t="s">
        <v>46</v>
      </c>
      <c r="BE65" s="1273"/>
      <c r="BF65" s="1304" t="s">
        <v>87</v>
      </c>
      <c r="BG65" s="1305"/>
      <c r="BH65" s="12"/>
      <c r="BI65" s="1139" t="s">
        <v>46</v>
      </c>
      <c r="BJ65" s="1273"/>
      <c r="BK65" s="1270"/>
      <c r="BL65" s="1271"/>
      <c r="BM65" s="12"/>
      <c r="BN65" s="1139" t="s">
        <v>46</v>
      </c>
      <c r="BO65" s="1273"/>
      <c r="BP65" s="1270"/>
      <c r="BQ65" s="1278"/>
      <c r="BR65" s="12"/>
      <c r="BS65" s="12"/>
      <c r="BT65" s="12"/>
      <c r="BU65" s="12"/>
      <c r="BV65" s="12"/>
      <c r="BW65" s="12"/>
      <c r="BX65" s="4"/>
      <c r="BY65" s="4"/>
      <c r="BZ65" s="4"/>
      <c r="CA65" s="4"/>
      <c r="CB65" s="4"/>
      <c r="CC65" s="4"/>
      <c r="CD65" s="4"/>
      <c r="CE65" s="4"/>
      <c r="CF65" s="4"/>
      <c r="CG65" s="4"/>
      <c r="CH65" s="4"/>
      <c r="CI65" s="13"/>
      <c r="CK65" s="1338" t="s">
        <v>196</v>
      </c>
      <c r="CL65" s="282" t="s">
        <v>204</v>
      </c>
      <c r="CM65" s="312">
        <f>L265</f>
        <v>0</v>
      </c>
      <c r="CN65" s="290">
        <f>IF(CM14=0,0,ROUNDDOWN(CM65/CM14,8))</f>
        <v>0</v>
      </c>
      <c r="CO65" s="289" t="str">
        <f>IF(SUM(CO66:CO75)=CN77,"計算ＯＫ","エラー発生")</f>
        <v>計算ＯＫ</v>
      </c>
      <c r="CP65" s="287">
        <f>SUM(CP66:CP75)</f>
        <v>0</v>
      </c>
      <c r="CQ65" s="115" t="str">
        <f>IF(CM65=CP65,"ＯＫ","エラー")</f>
        <v>ＯＫ</v>
      </c>
      <c r="CR65" s="56"/>
    </row>
    <row r="66" spans="1:96" ht="18" customHeight="1">
      <c r="A66" s="165"/>
      <c r="B66" s="12"/>
      <c r="C66" s="75" t="s">
        <v>33</v>
      </c>
      <c r="D66" s="12"/>
      <c r="E66" s="12"/>
      <c r="F66" s="12"/>
      <c r="G66" s="12"/>
      <c r="H66" s="50"/>
      <c r="I66" s="93"/>
      <c r="J66" s="12"/>
      <c r="K66" s="76" t="s">
        <v>9</v>
      </c>
      <c r="L66" s="12"/>
      <c r="M66" s="1414"/>
      <c r="N66" s="1414"/>
      <c r="O66" s="1414"/>
      <c r="P66" s="1414"/>
      <c r="Q66" s="1414"/>
      <c r="R66" s="1414"/>
      <c r="S66" s="1415"/>
      <c r="T66" s="72" t="s">
        <v>30</v>
      </c>
      <c r="U66" s="105">
        <f>R67+R70</f>
        <v>0</v>
      </c>
      <c r="V66" s="88" t="s">
        <v>6</v>
      </c>
      <c r="W66" s="80" t="s">
        <v>34</v>
      </c>
      <c r="X66" s="29">
        <f t="shared" ref="X66:X71" si="44">IF($AH$13&gt;0,0,AZ66)</f>
        <v>0</v>
      </c>
      <c r="Y66" s="80" t="s">
        <v>39</v>
      </c>
      <c r="Z66" s="31">
        <f>IF($AH$13&gt;0,0,BB66)</f>
        <v>0</v>
      </c>
      <c r="AA66" s="4"/>
      <c r="AB66" s="4"/>
      <c r="AC66" s="492"/>
      <c r="AD66" s="4"/>
      <c r="AE66" s="74"/>
      <c r="AF66" s="219">
        <f>AF67+AF70+AF73</f>
        <v>0</v>
      </c>
      <c r="AG66" s="4"/>
      <c r="AH66" s="4"/>
      <c r="AI66" s="174"/>
      <c r="AJ66" s="174"/>
      <c r="AK66" s="174"/>
      <c r="AL66" s="174"/>
      <c r="AM66" s="174"/>
      <c r="AN66" s="174"/>
      <c r="AO66" s="325" t="s">
        <v>34</v>
      </c>
      <c r="AP66" s="326">
        <f>AR70-(AP67+AP68+AP69+AP70+AP71+AR66+AR67+AR68+AR69)</f>
        <v>0</v>
      </c>
      <c r="AQ66" s="327" t="s">
        <v>39</v>
      </c>
      <c r="AR66" s="358">
        <f>ROUNDDOWN(AR70/10,-2)</f>
        <v>0</v>
      </c>
      <c r="AS66" s="174"/>
      <c r="AT66" s="316" t="s">
        <v>34</v>
      </c>
      <c r="AU66" s="377">
        <f t="shared" ref="AU66:AU71" si="45">IF($AG$2&gt;0,"限度超過",AP66-AZ155-AZ244)</f>
        <v>0</v>
      </c>
      <c r="AV66" s="314" t="s">
        <v>39</v>
      </c>
      <c r="AW66" s="378">
        <f>IF($AG$2&gt;0,"限度超過",AR66-BB155-BB244)</f>
        <v>0</v>
      </c>
      <c r="AX66" s="379"/>
      <c r="AY66" s="407" t="s">
        <v>34</v>
      </c>
      <c r="AZ66" s="313">
        <f t="shared" ref="AZ66:AZ71" si="46">AU66</f>
        <v>0</v>
      </c>
      <c r="BA66" s="314" t="s">
        <v>39</v>
      </c>
      <c r="BB66" s="408">
        <f>AW66</f>
        <v>0</v>
      </c>
      <c r="BC66" s="379"/>
      <c r="BD66" s="451" t="s">
        <v>34</v>
      </c>
      <c r="BE66" s="81">
        <f t="shared" ref="BE66:BE71" si="47">BE56</f>
        <v>0</v>
      </c>
      <c r="BF66" s="82" t="s">
        <v>39</v>
      </c>
      <c r="BG66" s="29">
        <f>BG56</f>
        <v>0</v>
      </c>
      <c r="BH66" s="12"/>
      <c r="BI66" s="80" t="s">
        <v>34</v>
      </c>
      <c r="BJ66" s="29">
        <f t="shared" ref="BJ66:BJ71" si="48">IF($A$87=$L$87,"限度超過",IF(BE66=0,0,BE66/$S$5))</f>
        <v>0</v>
      </c>
      <c r="BK66" s="80" t="s">
        <v>39</v>
      </c>
      <c r="BL66" s="29">
        <f>IF($A$87=$L$87,"限度超過",IF(BG66=0,0,BG66/$S$5))</f>
        <v>0</v>
      </c>
      <c r="BM66" s="12"/>
      <c r="BN66" s="30" t="s">
        <v>34</v>
      </c>
      <c r="BO66" s="29">
        <f t="shared" ref="BO66:BO71" si="49">IF($A$87=$L$87,"限度超過",IF($S$5&lt;=5,0,BJ66))</f>
        <v>0</v>
      </c>
      <c r="BP66" s="80" t="s">
        <v>39</v>
      </c>
      <c r="BQ66" s="460">
        <f>IF($A$87=$L$87,"限度超過",IF($S$5&lt;=5,0,BL66))</f>
        <v>0</v>
      </c>
      <c r="BR66" s="12"/>
      <c r="BS66" s="12"/>
      <c r="BT66" s="12"/>
      <c r="BU66" s="12"/>
      <c r="BV66" s="12"/>
      <c r="BW66" s="12"/>
      <c r="BX66" s="32"/>
      <c r="BY66" s="33" t="str">
        <f>BY56</f>
        <v>料率</v>
      </c>
      <c r="BZ66" s="33">
        <f>BZ56</f>
        <v>7</v>
      </c>
      <c r="CA66" s="33">
        <f>CA56</f>
        <v>5</v>
      </c>
      <c r="CB66" s="33">
        <f>CB56</f>
        <v>2</v>
      </c>
      <c r="CC66" s="713" t="s">
        <v>467</v>
      </c>
      <c r="CD66" s="4"/>
      <c r="CE66" s="4"/>
      <c r="CF66" s="4"/>
      <c r="CG66" s="4"/>
      <c r="CH66" s="4"/>
      <c r="CI66" s="13"/>
      <c r="CK66" s="1338"/>
      <c r="CL66" s="283" t="s">
        <v>186</v>
      </c>
      <c r="CM66" s="288">
        <f t="shared" ref="CM66:CM75" si="50">ROUND(CM15*$CN$65,0)</f>
        <v>0</v>
      </c>
      <c r="CN66" s="308" t="s">
        <v>209</v>
      </c>
      <c r="CO66" s="288">
        <f>IF($CN$77=0,0,IF($CN$77&gt;=10,1,IF($CN$77&lt;=-10,-1,0)))</f>
        <v>0</v>
      </c>
      <c r="CP66" s="288">
        <f>CM66+CO66</f>
        <v>0</v>
      </c>
      <c r="CR66" s="56"/>
    </row>
    <row r="67" spans="1:96" ht="18" customHeight="1">
      <c r="A67" s="1421" t="s">
        <v>0</v>
      </c>
      <c r="B67" s="1448" t="s">
        <v>129</v>
      </c>
      <c r="C67" s="1376">
        <f>入力画面!R39</f>
        <v>0</v>
      </c>
      <c r="D67" s="855" t="s">
        <v>58</v>
      </c>
      <c r="E67" s="1416">
        <f>IF(H70&gt;0,$CE$11, 0)</f>
        <v>0</v>
      </c>
      <c r="F67" s="1380" t="s">
        <v>22</v>
      </c>
      <c r="G67" s="855" t="s">
        <v>59</v>
      </c>
      <c r="H67" s="85">
        <f>IF(H70&gt;0,$CE$7,0)</f>
        <v>0</v>
      </c>
      <c r="I67" s="1277" t="s">
        <v>22</v>
      </c>
      <c r="J67" s="855" t="s">
        <v>59</v>
      </c>
      <c r="K67" s="51">
        <f>入力画面!I38</f>
        <v>0</v>
      </c>
      <c r="L67" s="52" t="s">
        <v>5</v>
      </c>
      <c r="M67" s="1380"/>
      <c r="N67" s="1407"/>
      <c r="O67" s="86"/>
      <c r="P67" s="1377" t="s">
        <v>130</v>
      </c>
      <c r="Q67" s="1377"/>
      <c r="R67" s="1403">
        <f>ROUNDDOWN(IF(((C67-E67)*H67/H68)*K67/K68&lt;0,0,((C67-E67)*H67/H68)*K67/K68),0)</f>
        <v>0</v>
      </c>
      <c r="S67" s="1408" t="s">
        <v>6</v>
      </c>
      <c r="T67" s="72" t="s">
        <v>1</v>
      </c>
      <c r="U67" s="105">
        <f>IF(H70=0,0,K73)</f>
        <v>0</v>
      </c>
      <c r="V67" s="88" t="s">
        <v>6</v>
      </c>
      <c r="W67" s="30" t="s">
        <v>35</v>
      </c>
      <c r="X67" s="29">
        <f t="shared" si="44"/>
        <v>0</v>
      </c>
      <c r="Y67" s="30" t="s">
        <v>40</v>
      </c>
      <c r="Z67" s="31">
        <f>IF($AH$13&gt;0,0,BB67)</f>
        <v>0</v>
      </c>
      <c r="AB67" s="4"/>
      <c r="AC67" s="492"/>
      <c r="AD67" s="4"/>
      <c r="AE67" s="74"/>
      <c r="AF67" s="1360">
        <f>ROUNDDOWN(IF(((C67-E67)*H67/H68)&lt;0,0,((C67-E67)*H67/H68)),0)</f>
        <v>0</v>
      </c>
      <c r="AG67" s="4"/>
      <c r="AH67" s="4"/>
      <c r="AI67" s="174"/>
      <c r="AJ67" s="174"/>
      <c r="AK67" s="174"/>
      <c r="AL67" s="174"/>
      <c r="AM67" s="174"/>
      <c r="AN67" s="174"/>
      <c r="AO67" s="328" t="s">
        <v>35</v>
      </c>
      <c r="AP67" s="326">
        <f>ROUNDDOWN(AR70/10,-2)</f>
        <v>0</v>
      </c>
      <c r="AQ67" s="327" t="s">
        <v>40</v>
      </c>
      <c r="AR67" s="358">
        <f>ROUNDDOWN(AR70/10,-2)</f>
        <v>0</v>
      </c>
      <c r="AS67" s="174"/>
      <c r="AT67" s="316" t="s">
        <v>35</v>
      </c>
      <c r="AU67" s="377">
        <f t="shared" si="45"/>
        <v>0</v>
      </c>
      <c r="AV67" s="314" t="s">
        <v>40</v>
      </c>
      <c r="AW67" s="378">
        <f>IF($AG$2&gt;0,"限度超過",AR67-BB156-BB245)</f>
        <v>0</v>
      </c>
      <c r="AX67" s="379"/>
      <c r="AY67" s="409" t="s">
        <v>35</v>
      </c>
      <c r="AZ67" s="313">
        <f t="shared" si="46"/>
        <v>0</v>
      </c>
      <c r="BA67" s="314" t="s">
        <v>40</v>
      </c>
      <c r="BB67" s="408">
        <f>AW67</f>
        <v>0</v>
      </c>
      <c r="BC67" s="379"/>
      <c r="BD67" s="451" t="s">
        <v>35</v>
      </c>
      <c r="BE67" s="81">
        <f t="shared" si="47"/>
        <v>0</v>
      </c>
      <c r="BF67" s="82" t="s">
        <v>40</v>
      </c>
      <c r="BG67" s="29">
        <f>BG57</f>
        <v>0</v>
      </c>
      <c r="BH67" s="12"/>
      <c r="BI67" s="30" t="s">
        <v>35</v>
      </c>
      <c r="BJ67" s="29">
        <f t="shared" si="48"/>
        <v>0</v>
      </c>
      <c r="BK67" s="30" t="s">
        <v>40</v>
      </c>
      <c r="BL67" s="29">
        <f>IF($A$87=$L$87,"限度超過",IF(BG67=0,0,BG67/$S$5))</f>
        <v>0</v>
      </c>
      <c r="BM67" s="12"/>
      <c r="BN67" s="30" t="s">
        <v>35</v>
      </c>
      <c r="BO67" s="29">
        <f t="shared" si="49"/>
        <v>0</v>
      </c>
      <c r="BP67" s="30" t="s">
        <v>40</v>
      </c>
      <c r="BQ67" s="460">
        <f>IF($A$87=$L$87,"限度超過",IF($S$5&lt;=5,0,BL67))</f>
        <v>0</v>
      </c>
      <c r="BR67" s="12"/>
      <c r="BS67" s="12"/>
      <c r="BT67" s="12"/>
      <c r="BU67" s="12"/>
      <c r="BV67" s="12"/>
      <c r="BW67" s="12"/>
      <c r="BX67" s="32" t="s">
        <v>17</v>
      </c>
      <c r="BY67" s="44">
        <v>0</v>
      </c>
      <c r="BZ67" s="45">
        <f>$CF$8</f>
        <v>18250</v>
      </c>
      <c r="CA67" s="45">
        <f>$CG$8</f>
        <v>13030</v>
      </c>
      <c r="CB67" s="45">
        <f>$CH$8</f>
        <v>5220</v>
      </c>
      <c r="CC67" s="713"/>
      <c r="CD67" s="4"/>
      <c r="CE67" s="4"/>
      <c r="CF67" s="4"/>
      <c r="CG67" s="4"/>
      <c r="CH67" s="4"/>
      <c r="CI67" s="13"/>
      <c r="CK67" s="1338"/>
      <c r="CL67" s="283" t="s">
        <v>187</v>
      </c>
      <c r="CM67" s="288">
        <f t="shared" si="50"/>
        <v>0</v>
      </c>
      <c r="CN67" s="305" t="s">
        <v>183</v>
      </c>
      <c r="CO67" s="288">
        <f>IF($CN$77=0,0,IF($CN$77&gt;=9,1,IF($CN$77&lt;=-9,-1,0)))</f>
        <v>0</v>
      </c>
      <c r="CP67" s="288">
        <f t="shared" ref="CP67:CP75" si="51">CM67+CO67</f>
        <v>0</v>
      </c>
      <c r="CR67" s="56"/>
    </row>
    <row r="68" spans="1:96" ht="18" customHeight="1">
      <c r="A68" s="1421"/>
      <c r="B68" s="1448"/>
      <c r="C68" s="1376"/>
      <c r="D68" s="855"/>
      <c r="E68" s="1416"/>
      <c r="F68" s="1380"/>
      <c r="G68" s="855"/>
      <c r="H68" s="39">
        <v>100</v>
      </c>
      <c r="I68" s="1277"/>
      <c r="J68" s="855"/>
      <c r="K68" s="55">
        <v>12</v>
      </c>
      <c r="L68" s="12" t="s">
        <v>5</v>
      </c>
      <c r="M68" s="1380"/>
      <c r="N68" s="1407"/>
      <c r="O68" s="86"/>
      <c r="P68" s="1377"/>
      <c r="Q68" s="1377"/>
      <c r="R68" s="1403"/>
      <c r="S68" s="1408"/>
      <c r="T68" s="72" t="s">
        <v>29</v>
      </c>
      <c r="U68" s="105">
        <f>U66+U67</f>
        <v>0</v>
      </c>
      <c r="V68" s="88" t="s">
        <v>6</v>
      </c>
      <c r="W68" s="30" t="s">
        <v>36</v>
      </c>
      <c r="X68" s="29">
        <f t="shared" si="44"/>
        <v>0</v>
      </c>
      <c r="Y68" s="30" t="s">
        <v>41</v>
      </c>
      <c r="Z68" s="31">
        <f>IF($AH$13&gt;0,0,BB68)</f>
        <v>0</v>
      </c>
      <c r="AB68" s="4"/>
      <c r="AC68" s="492"/>
      <c r="AD68" s="4"/>
      <c r="AE68" s="74"/>
      <c r="AF68" s="1360"/>
      <c r="AG68" s="4"/>
      <c r="AH68" s="4"/>
      <c r="AI68" s="174"/>
      <c r="AJ68" s="174"/>
      <c r="AK68" s="174"/>
      <c r="AL68" s="174"/>
      <c r="AM68" s="174"/>
      <c r="AN68" s="174"/>
      <c r="AO68" s="328" t="s">
        <v>36</v>
      </c>
      <c r="AP68" s="326">
        <f>ROUNDDOWN(AR70/10,-2)</f>
        <v>0</v>
      </c>
      <c r="AQ68" s="327" t="s">
        <v>41</v>
      </c>
      <c r="AR68" s="358">
        <f>ROUNDDOWN(AR70/10,-2)</f>
        <v>0</v>
      </c>
      <c r="AS68" s="174"/>
      <c r="AT68" s="316" t="s">
        <v>36</v>
      </c>
      <c r="AU68" s="377">
        <f t="shared" si="45"/>
        <v>0</v>
      </c>
      <c r="AV68" s="314" t="s">
        <v>41</v>
      </c>
      <c r="AW68" s="378">
        <f>IF($AG$2&gt;0,"限度超過",AR68-BB157-BB246)</f>
        <v>0</v>
      </c>
      <c r="AX68" s="379"/>
      <c r="AY68" s="409" t="s">
        <v>36</v>
      </c>
      <c r="AZ68" s="313">
        <f t="shared" si="46"/>
        <v>0</v>
      </c>
      <c r="BA68" s="314" t="s">
        <v>41</v>
      </c>
      <c r="BB68" s="408">
        <f>AW68</f>
        <v>0</v>
      </c>
      <c r="BC68" s="379"/>
      <c r="BD68" s="451" t="s">
        <v>36</v>
      </c>
      <c r="BE68" s="81">
        <f t="shared" si="47"/>
        <v>0</v>
      </c>
      <c r="BF68" s="82" t="s">
        <v>41</v>
      </c>
      <c r="BG68" s="29">
        <f>BG58</f>
        <v>0</v>
      </c>
      <c r="BH68" s="12"/>
      <c r="BI68" s="30" t="s">
        <v>36</v>
      </c>
      <c r="BJ68" s="29">
        <f t="shared" si="48"/>
        <v>0</v>
      </c>
      <c r="BK68" s="30" t="s">
        <v>41</v>
      </c>
      <c r="BL68" s="29">
        <f>IF($A$87=$L$87,"限度超過",IF(BG68=0,0,BG68/$S$5))</f>
        <v>0</v>
      </c>
      <c r="BM68" s="12"/>
      <c r="BN68" s="30" t="s">
        <v>36</v>
      </c>
      <c r="BO68" s="29">
        <f t="shared" si="49"/>
        <v>0</v>
      </c>
      <c r="BP68" s="30" t="s">
        <v>41</v>
      </c>
      <c r="BQ68" s="460">
        <f>IF($A$87=$L$87,"限度超過",IF($S$5&lt;=5,0,BL68))</f>
        <v>0</v>
      </c>
      <c r="BR68" s="12"/>
      <c r="BS68" s="12"/>
      <c r="BT68" s="12"/>
      <c r="BU68" s="12"/>
      <c r="BV68" s="12"/>
      <c r="BW68" s="12"/>
      <c r="BX68" s="32" t="s">
        <v>8</v>
      </c>
      <c r="BY68" s="45">
        <f>K70</f>
        <v>0</v>
      </c>
      <c r="BZ68" s="45">
        <f t="shared" ref="BZ68:CB70" si="52">BY68</f>
        <v>0</v>
      </c>
      <c r="CA68" s="45">
        <f t="shared" si="52"/>
        <v>0</v>
      </c>
      <c r="CB68" s="45">
        <f t="shared" si="52"/>
        <v>0</v>
      </c>
      <c r="CC68" s="713">
        <f>CB68</f>
        <v>0</v>
      </c>
      <c r="CD68" s="4"/>
      <c r="CE68" s="4"/>
      <c r="CF68" s="4"/>
      <c r="CG68" s="4"/>
      <c r="CH68" s="4"/>
      <c r="CI68" s="13"/>
      <c r="CK68" s="1338"/>
      <c r="CL68" s="283" t="s">
        <v>188</v>
      </c>
      <c r="CM68" s="288">
        <f t="shared" si="50"/>
        <v>0</v>
      </c>
      <c r="CN68" s="291" t="s">
        <v>203</v>
      </c>
      <c r="CO68" s="288">
        <f>IF($CN$77=0,0,IF($CN$77&gt;=8,1,IF($CN$77&lt;=-8,-1,0)))</f>
        <v>0</v>
      </c>
      <c r="CP68" s="288">
        <f t="shared" si="51"/>
        <v>0</v>
      </c>
      <c r="CR68" s="56"/>
    </row>
    <row r="69" spans="1:96" ht="18" customHeight="1">
      <c r="A69" s="165"/>
      <c r="B69" s="12"/>
      <c r="C69" s="50"/>
      <c r="D69" s="12"/>
      <c r="E69" s="12"/>
      <c r="F69" s="12"/>
      <c r="G69" s="12"/>
      <c r="H69" s="91"/>
      <c r="I69" s="75"/>
      <c r="J69" s="75"/>
      <c r="K69" s="92"/>
      <c r="L69" s="75"/>
      <c r="M69" s="93"/>
      <c r="N69" s="714" t="str">
        <f>IF(入力画面!E37=1,"未就学児",0)</f>
        <v>未就学児</v>
      </c>
      <c r="O69" s="42">
        <f>IF(H70=0,0,$D$5)</f>
        <v>0</v>
      </c>
      <c r="P69" s="466">
        <f>IF(O70=0,0,"軽減額")</f>
        <v>0</v>
      </c>
      <c r="Q69" s="12"/>
      <c r="R69" s="95"/>
      <c r="S69" s="49"/>
      <c r="T69" s="96" t="s">
        <v>31</v>
      </c>
      <c r="U69" s="105">
        <f>ROUNDDOWN(U68,-2)</f>
        <v>0</v>
      </c>
      <c r="V69" s="88" t="s">
        <v>6</v>
      </c>
      <c r="W69" s="30" t="s">
        <v>43</v>
      </c>
      <c r="X69" s="29">
        <f t="shared" si="44"/>
        <v>0</v>
      </c>
      <c r="Y69" s="30" t="s">
        <v>42</v>
      </c>
      <c r="Z69" s="31">
        <f>IF($AH$13&gt;0,0,BB69)</f>
        <v>0</v>
      </c>
      <c r="AB69" s="4"/>
      <c r="AC69" s="492"/>
      <c r="AD69" s="4"/>
      <c r="AE69" s="500" t="str">
        <f>IF($AH$13&gt;0,"－",IF($AG$2&gt;0,"限度超過",IF(U70=Z70,"OK","ｱﾝﾏｯﾁ")))</f>
        <v>OK</v>
      </c>
      <c r="AF69" s="499"/>
      <c r="AG69" s="4"/>
      <c r="AI69" s="174"/>
      <c r="AJ69" s="174"/>
      <c r="AK69" s="174"/>
      <c r="AL69" s="174"/>
      <c r="AM69" s="174"/>
      <c r="AN69" s="174"/>
      <c r="AO69" s="328" t="s">
        <v>43</v>
      </c>
      <c r="AP69" s="326">
        <f>ROUNDDOWN(AR70/10,-2)</f>
        <v>0</v>
      </c>
      <c r="AQ69" s="327" t="s">
        <v>42</v>
      </c>
      <c r="AR69" s="358">
        <f>ROUNDDOWN(AR70/10,-2)</f>
        <v>0</v>
      </c>
      <c r="AS69" s="174"/>
      <c r="AT69" s="316" t="s">
        <v>43</v>
      </c>
      <c r="AU69" s="377">
        <f t="shared" si="45"/>
        <v>0</v>
      </c>
      <c r="AV69" s="314" t="s">
        <v>42</v>
      </c>
      <c r="AW69" s="378">
        <f>IF($AG$2&gt;0,"限度超過",AR69-BB158-BB247)</f>
        <v>0</v>
      </c>
      <c r="AX69" s="379"/>
      <c r="AY69" s="409" t="s">
        <v>43</v>
      </c>
      <c r="AZ69" s="313">
        <f t="shared" si="46"/>
        <v>0</v>
      </c>
      <c r="BA69" s="314" t="s">
        <v>42</v>
      </c>
      <c r="BB69" s="408">
        <f>AW69</f>
        <v>0</v>
      </c>
      <c r="BC69" s="379"/>
      <c r="BD69" s="451" t="s">
        <v>43</v>
      </c>
      <c r="BE69" s="81">
        <f t="shared" si="47"/>
        <v>0</v>
      </c>
      <c r="BF69" s="82" t="s">
        <v>42</v>
      </c>
      <c r="BG69" s="29">
        <f>BG59</f>
        <v>0</v>
      </c>
      <c r="BH69" s="12"/>
      <c r="BI69" s="30" t="s">
        <v>43</v>
      </c>
      <c r="BJ69" s="29">
        <f t="shared" si="48"/>
        <v>0</v>
      </c>
      <c r="BK69" s="30" t="s">
        <v>42</v>
      </c>
      <c r="BL69" s="29">
        <f>IF($A$87=$L$87,"限度超過",IF(BG69=0,0,BG69/$S$5))</f>
        <v>0</v>
      </c>
      <c r="BM69" s="12"/>
      <c r="BN69" s="30" t="s">
        <v>43</v>
      </c>
      <c r="BO69" s="29">
        <f t="shared" si="49"/>
        <v>0</v>
      </c>
      <c r="BP69" s="30" t="s">
        <v>42</v>
      </c>
      <c r="BQ69" s="460">
        <f>IF($A$87=$L$87,"限度超過",IF($S$5&lt;=5,0,BL69))</f>
        <v>0</v>
      </c>
      <c r="BR69" s="12"/>
      <c r="BS69" s="12"/>
      <c r="BT69" s="12"/>
      <c r="BU69" s="12"/>
      <c r="BV69" s="12"/>
      <c r="BW69" s="12"/>
      <c r="BX69" s="32" t="s">
        <v>25</v>
      </c>
      <c r="BY69" s="45">
        <f>K71</f>
        <v>0</v>
      </c>
      <c r="BZ69" s="45">
        <f t="shared" si="52"/>
        <v>0</v>
      </c>
      <c r="CA69" s="45">
        <f t="shared" si="52"/>
        <v>0</v>
      </c>
      <c r="CB69" s="45">
        <f t="shared" si="52"/>
        <v>0</v>
      </c>
      <c r="CC69" s="713">
        <f>CB69</f>
        <v>0</v>
      </c>
      <c r="CD69" s="4"/>
      <c r="CE69" s="4"/>
      <c r="CF69" s="4"/>
      <c r="CG69" s="4"/>
      <c r="CH69" s="4"/>
      <c r="CI69" s="13"/>
      <c r="CK69" s="1338"/>
      <c r="CL69" s="283" t="s">
        <v>189</v>
      </c>
      <c r="CM69" s="288">
        <f t="shared" si="50"/>
        <v>0</v>
      </c>
      <c r="CN69" s="291"/>
      <c r="CO69" s="288">
        <f>IF($CN$77=0,0,IF($CN$77&gt;=7,1,IF($CN$77&lt;=-7,-1,0)))</f>
        <v>0</v>
      </c>
      <c r="CP69" s="288">
        <f t="shared" si="51"/>
        <v>0</v>
      </c>
      <c r="CR69" s="56"/>
    </row>
    <row r="70" spans="1:96" ht="18" customHeight="1">
      <c r="A70" s="1421" t="s">
        <v>10</v>
      </c>
      <c r="B70" s="12"/>
      <c r="C70" s="12"/>
      <c r="D70" s="1419" t="s">
        <v>7</v>
      </c>
      <c r="E70" s="1416">
        <f>IF(H70&gt;0,$CE$8,0)</f>
        <v>0</v>
      </c>
      <c r="F70" s="97"/>
      <c r="G70" s="855" t="s">
        <v>59</v>
      </c>
      <c r="H70" s="1413">
        <f>IF(B65=0,0,SUBTOTAL(3,B65))</f>
        <v>0</v>
      </c>
      <c r="I70" s="1277" t="s">
        <v>22</v>
      </c>
      <c r="J70" s="855" t="s">
        <v>59</v>
      </c>
      <c r="K70" s="51">
        <f>IF(H70&gt;0,K67,0)</f>
        <v>0</v>
      </c>
      <c r="L70" s="52" t="s">
        <v>5</v>
      </c>
      <c r="M70" s="1407" t="s">
        <v>122</v>
      </c>
      <c r="N70" s="1402">
        <f>IF(O70=0,0,"―")</f>
        <v>0</v>
      </c>
      <c r="O70" s="1404">
        <f>IF(H70=0,0,IF(BY72=0,IF($D$5=7,BZ71,IF($D$5=5,CA71,IF($D$5=2,CB71,CC71))),IF($D$5=7,BZ71+BZ72,IF($D$5=5,CA71+CA72,IF($D$5=2,CB71+CB72,CC71+CC72)))))</f>
        <v>0</v>
      </c>
      <c r="P70" s="1405"/>
      <c r="Q70" s="1377" t="s">
        <v>130</v>
      </c>
      <c r="R70" s="1403">
        <f>IF(H70&gt;0,IF(K67=0,0,ROUNDDOWN(((E70*H70)*K70/K71)-O70,0)),0)</f>
        <v>0</v>
      </c>
      <c r="S70" s="1381" t="s">
        <v>6</v>
      </c>
      <c r="T70" s="1388" t="s">
        <v>32</v>
      </c>
      <c r="U70" s="1387">
        <f>IF($L$87=$A$87,"限度超過!",U68)</f>
        <v>0</v>
      </c>
      <c r="V70" s="1389" t="s">
        <v>6</v>
      </c>
      <c r="W70" s="30" t="s">
        <v>37</v>
      </c>
      <c r="X70" s="29">
        <f t="shared" si="44"/>
        <v>0</v>
      </c>
      <c r="Y70" s="1199" t="s">
        <v>44</v>
      </c>
      <c r="Z70" s="1394">
        <f>IF($AH$13&gt;0,0,BB70)</f>
        <v>0</v>
      </c>
      <c r="AB70" s="4"/>
      <c r="AC70" s="492"/>
      <c r="AD70" s="4"/>
      <c r="AE70" s="500" t="str">
        <f>IF($AG$2&gt;0,"限度超過",IF(X66+X67+X68+X69+X70+X71+Z66+Z67+Z68+Z69=Z70,"OK","エラー"))</f>
        <v>OK</v>
      </c>
      <c r="AF70" s="1361">
        <f>IF(H70&gt;0,IF(K67=0,0,ROUNDDOWN((E70*H70)-O70,0)),0)</f>
        <v>0</v>
      </c>
      <c r="AG70" s="4"/>
      <c r="AI70" s="174"/>
      <c r="AJ70" s="174"/>
      <c r="AK70" s="174"/>
      <c r="AL70" s="174"/>
      <c r="AM70" s="174"/>
      <c r="AN70" s="174"/>
      <c r="AO70" s="328" t="s">
        <v>37</v>
      </c>
      <c r="AP70" s="326">
        <f>ROUNDDOWN(AR70/10,-2)</f>
        <v>0</v>
      </c>
      <c r="AQ70" s="329" t="s">
        <v>44</v>
      </c>
      <c r="AR70" s="330">
        <f>IF($AG$2&gt;0,0,IF($AH$13&gt;0,0,U70+U159+U248))</f>
        <v>0</v>
      </c>
      <c r="AS70" s="174"/>
      <c r="AT70" s="316" t="s">
        <v>37</v>
      </c>
      <c r="AU70" s="377">
        <f t="shared" si="45"/>
        <v>0</v>
      </c>
      <c r="AV70" s="317" t="s">
        <v>44</v>
      </c>
      <c r="AW70" s="315">
        <f>IF($AG$2&gt;0,"限度超過",AU66+AU67+AU68+AU69+AU70+AU71+AW66+AW67+AW68+AW69)</f>
        <v>0</v>
      </c>
      <c r="AX70" s="379"/>
      <c r="AY70" s="409" t="s">
        <v>37</v>
      </c>
      <c r="AZ70" s="313">
        <f t="shared" si="46"/>
        <v>0</v>
      </c>
      <c r="BA70" s="317" t="s">
        <v>44</v>
      </c>
      <c r="BB70" s="408">
        <f>AW70</f>
        <v>0</v>
      </c>
      <c r="BC70" s="379"/>
      <c r="BD70" s="451" t="s">
        <v>37</v>
      </c>
      <c r="BE70" s="81">
        <f t="shared" si="47"/>
        <v>0</v>
      </c>
      <c r="BF70" s="443" t="s">
        <v>44</v>
      </c>
      <c r="BG70" s="29">
        <f>IF($A$87=$L$87,"限度超過",BE66+BE67+BE68+BE69+BE70+BE71+BG66+BG67+BG68+BG69)</f>
        <v>0</v>
      </c>
      <c r="BH70" s="12"/>
      <c r="BI70" s="30" t="s">
        <v>37</v>
      </c>
      <c r="BJ70" s="29">
        <f t="shared" si="48"/>
        <v>0</v>
      </c>
      <c r="BK70" s="98" t="s">
        <v>44</v>
      </c>
      <c r="BL70" s="29">
        <f>IF($A$87=$L$87,"限度超過",BJ66+BJ67+BJ68+BJ69+BJ70+BJ71+BL66+BL67+BL68+BL69)</f>
        <v>0</v>
      </c>
      <c r="BM70" s="12"/>
      <c r="BN70" s="30" t="s">
        <v>37</v>
      </c>
      <c r="BO70" s="29">
        <f t="shared" si="49"/>
        <v>0</v>
      </c>
      <c r="BP70" s="98" t="s">
        <v>44</v>
      </c>
      <c r="BQ70" s="460">
        <f>IF($A$87=$L$87,"限度超過",BO66+BO67+BO68+BO69+BO70+BO71+BQ66+BQ67+BQ68+BQ69)</f>
        <v>0</v>
      </c>
      <c r="BR70" s="12"/>
      <c r="BS70" s="12"/>
      <c r="BT70" s="12"/>
      <c r="BU70" s="12"/>
      <c r="BV70" s="12"/>
      <c r="BW70" s="12"/>
      <c r="BX70" s="32" t="s">
        <v>26</v>
      </c>
      <c r="BY70" s="26">
        <f>H70</f>
        <v>0</v>
      </c>
      <c r="BZ70" s="99">
        <f t="shared" si="52"/>
        <v>0</v>
      </c>
      <c r="CA70" s="99">
        <f t="shared" si="52"/>
        <v>0</v>
      </c>
      <c r="CB70" s="99">
        <f t="shared" si="52"/>
        <v>0</v>
      </c>
      <c r="CC70" s="713">
        <f>CB70</f>
        <v>0</v>
      </c>
      <c r="CD70" s="4"/>
      <c r="CE70" s="4"/>
      <c r="CF70" s="4"/>
      <c r="CG70" s="4"/>
      <c r="CH70" s="4"/>
      <c r="CI70" s="13"/>
      <c r="CK70" s="280"/>
      <c r="CL70" s="283" t="s">
        <v>190</v>
      </c>
      <c r="CM70" s="288">
        <f t="shared" si="50"/>
        <v>0</v>
      </c>
      <c r="CN70" s="291"/>
      <c r="CO70" s="288">
        <f>IF($CN$77=0,0,IF($CN$77&gt;=6,1,IF($CN$77&lt;=-6,-1,0)))</f>
        <v>0</v>
      </c>
      <c r="CP70" s="288">
        <f t="shared" si="51"/>
        <v>0</v>
      </c>
      <c r="CR70" s="56"/>
    </row>
    <row r="71" spans="1:96" ht="18" customHeight="1">
      <c r="A71" s="1421"/>
      <c r="B71" s="12"/>
      <c r="C71" s="12"/>
      <c r="D71" s="1419"/>
      <c r="E71" s="1416"/>
      <c r="F71" s="12"/>
      <c r="G71" s="855"/>
      <c r="H71" s="1413"/>
      <c r="I71" s="1277"/>
      <c r="J71" s="855"/>
      <c r="K71" s="180">
        <f>IF(H70&gt;0,K68,0)</f>
        <v>0</v>
      </c>
      <c r="L71" s="12" t="s">
        <v>5</v>
      </c>
      <c r="M71" s="1407"/>
      <c r="N71" s="1402"/>
      <c r="O71" s="1405"/>
      <c r="P71" s="1405"/>
      <c r="Q71" s="1377"/>
      <c r="R71" s="1403"/>
      <c r="S71" s="1381"/>
      <c r="T71" s="1388"/>
      <c r="U71" s="1387"/>
      <c r="V71" s="1389"/>
      <c r="W71" s="30" t="s">
        <v>38</v>
      </c>
      <c r="X71" s="29">
        <f t="shared" si="44"/>
        <v>0</v>
      </c>
      <c r="Y71" s="1368"/>
      <c r="Z71" s="1395"/>
      <c r="AB71" s="4"/>
      <c r="AC71" s="492"/>
      <c r="AD71" s="4"/>
      <c r="AE71" s="74"/>
      <c r="AF71" s="1360"/>
      <c r="AG71" s="4"/>
      <c r="AH71" s="4"/>
      <c r="AI71" s="174"/>
      <c r="AJ71" s="174"/>
      <c r="AK71" s="174"/>
      <c r="AL71" s="174"/>
      <c r="AM71" s="174"/>
      <c r="AN71" s="174"/>
      <c r="AO71" s="328" t="s">
        <v>38</v>
      </c>
      <c r="AP71" s="326">
        <f>ROUNDDOWN(AR70/10,-2)</f>
        <v>0</v>
      </c>
      <c r="AQ71" s="327"/>
      <c r="AR71" s="331"/>
      <c r="AS71" s="174"/>
      <c r="AT71" s="316" t="s">
        <v>38</v>
      </c>
      <c r="AU71" s="377">
        <f t="shared" si="45"/>
        <v>0</v>
      </c>
      <c r="AV71" s="314" t="s">
        <v>75</v>
      </c>
      <c r="AW71" s="332">
        <f>IF($AG$2&gt;0,"限度超過",U70)</f>
        <v>0</v>
      </c>
      <c r="AX71" s="379"/>
      <c r="AY71" s="409" t="s">
        <v>38</v>
      </c>
      <c r="AZ71" s="313">
        <f t="shared" si="46"/>
        <v>0</v>
      </c>
      <c r="BA71" s="314"/>
      <c r="BB71" s="410"/>
      <c r="BC71" s="379"/>
      <c r="BD71" s="451" t="s">
        <v>38</v>
      </c>
      <c r="BE71" s="81">
        <f t="shared" si="47"/>
        <v>0</v>
      </c>
      <c r="BF71" s="82"/>
      <c r="BG71" s="100"/>
      <c r="BH71" s="12"/>
      <c r="BI71" s="30" t="s">
        <v>38</v>
      </c>
      <c r="BJ71" s="29">
        <f t="shared" si="48"/>
        <v>0</v>
      </c>
      <c r="BK71" s="30"/>
      <c r="BL71" s="100"/>
      <c r="BM71" s="12"/>
      <c r="BN71" s="30" t="s">
        <v>38</v>
      </c>
      <c r="BO71" s="29">
        <f t="shared" si="49"/>
        <v>0</v>
      </c>
      <c r="BP71" s="30"/>
      <c r="BQ71" s="461"/>
      <c r="BR71" s="12"/>
      <c r="BS71" s="12"/>
      <c r="BT71" s="12"/>
      <c r="BU71" s="12"/>
      <c r="BV71" s="12"/>
      <c r="BW71" s="12"/>
      <c r="BX71" s="67" t="s">
        <v>27</v>
      </c>
      <c r="BY71" s="45">
        <f>IF(BY70&gt;0,ROUNDDOWN(BY67*BY70*BY68/BY69,0),0)</f>
        <v>0</v>
      </c>
      <c r="BZ71" s="45">
        <f>IF(BZ70&gt;0,ROUNDDOWN(BZ67*BZ70*BZ68/BZ69,0),0)</f>
        <v>0</v>
      </c>
      <c r="CA71" s="45">
        <f>IF(CA70&gt;0,ROUNDDOWN(CA67*CA70*CA68/CA69,0),0)</f>
        <v>0</v>
      </c>
      <c r="CB71" s="45">
        <f>IF(CB70&gt;0,ROUNDDOWN(CB67*CB70*CB68/CB69,0),0)</f>
        <v>0</v>
      </c>
      <c r="CC71" s="713">
        <v>0</v>
      </c>
      <c r="CD71" s="4"/>
      <c r="CE71" s="4"/>
      <c r="CF71" s="4"/>
      <c r="CG71" s="4"/>
      <c r="CH71" s="4"/>
      <c r="CI71" s="13"/>
      <c r="CK71" s="280"/>
      <c r="CL71" s="283" t="s">
        <v>191</v>
      </c>
      <c r="CM71" s="288">
        <f t="shared" si="50"/>
        <v>0</v>
      </c>
      <c r="CN71" s="291"/>
      <c r="CO71" s="288">
        <f>IF($CN$77=0,0,IF($CN$77&gt;=5,1,IF($CN$77&lt;=-5,-1,0)))</f>
        <v>0</v>
      </c>
      <c r="CP71" s="288">
        <f t="shared" si="51"/>
        <v>0</v>
      </c>
      <c r="CR71" s="56"/>
    </row>
    <row r="72" spans="1:96" ht="18" customHeight="1">
      <c r="A72" s="202"/>
      <c r="B72" s="75" t="s">
        <v>118</v>
      </c>
      <c r="C72" s="12"/>
      <c r="D72" s="160"/>
      <c r="E72" s="161"/>
      <c r="F72" s="12"/>
      <c r="G72" s="50"/>
      <c r="H72" s="162"/>
      <c r="I72" s="159"/>
      <c r="J72" s="50"/>
      <c r="K72" s="180"/>
      <c r="L72" s="12"/>
      <c r="M72" s="86"/>
      <c r="N72" s="86"/>
      <c r="O72" s="181"/>
      <c r="P72" s="181"/>
      <c r="Q72" s="156"/>
      <c r="R72" s="157"/>
      <c r="S72" s="49"/>
      <c r="T72" s="50"/>
      <c r="U72" s="182"/>
      <c r="V72" s="50"/>
      <c r="W72" s="4"/>
      <c r="X72" s="26"/>
      <c r="Y72" s="170"/>
      <c r="Z72" s="187"/>
      <c r="AA72" s="5"/>
      <c r="AB72" s="159"/>
      <c r="AC72" s="226"/>
      <c r="AD72" s="159"/>
      <c r="AE72" s="159"/>
      <c r="AF72" s="236"/>
      <c r="AG72" s="159"/>
      <c r="AH72" s="227"/>
      <c r="AI72" s="201"/>
      <c r="AJ72" s="201"/>
      <c r="AK72" s="201"/>
      <c r="AL72" s="201"/>
      <c r="AM72" s="201"/>
      <c r="AN72" s="174"/>
      <c r="AO72" s="486"/>
      <c r="AP72" s="486"/>
      <c r="AQ72" s="487"/>
      <c r="AR72" s="487"/>
      <c r="AS72" s="201"/>
      <c r="AT72" s="381"/>
      <c r="AU72" s="472">
        <f>IF($AG$2&gt;0,"限度超過",0)</f>
        <v>0</v>
      </c>
      <c r="AV72" s="380"/>
      <c r="AW72" s="382" t="str">
        <f>IF(AW70=AW71,"OK","エラー")</f>
        <v>OK</v>
      </c>
      <c r="AX72" s="379"/>
      <c r="AY72" s="411"/>
      <c r="AZ72" s="320"/>
      <c r="BA72" s="319"/>
      <c r="BB72" s="412"/>
      <c r="BC72" s="379"/>
      <c r="BD72" s="452"/>
      <c r="BE72" s="26"/>
      <c r="BF72" s="4" t="s">
        <v>260</v>
      </c>
      <c r="BH72" s="12"/>
      <c r="BJ72" s="26"/>
      <c r="BM72" s="12"/>
      <c r="BO72" s="26"/>
      <c r="BQ72" s="462"/>
      <c r="BR72" s="12"/>
      <c r="BS72" s="12"/>
      <c r="BT72" s="12"/>
      <c r="BU72" s="12"/>
      <c r="BV72" s="12"/>
      <c r="BW72" s="12"/>
      <c r="BX72" s="32" t="s">
        <v>468</v>
      </c>
      <c r="BY72" s="713">
        <f>IF(入力画面!E37=1,1,0)</f>
        <v>1</v>
      </c>
      <c r="BZ72" s="713" t="e">
        <f>IF($BY$72=1,ROUNDDOWN(CF12*BZ68/BZ69,0),0)</f>
        <v>#DIV/0!</v>
      </c>
      <c r="CA72" s="713" t="e">
        <f>IF($BY$72=1,ROUNDDOWN(CG12*CA68/CA69,0),0)</f>
        <v>#DIV/0!</v>
      </c>
      <c r="CB72" s="713" t="e">
        <f>IF($BY$72=1,ROUNDDOWN(CH12*CB68/CB69,0),0)</f>
        <v>#DIV/0!</v>
      </c>
      <c r="CC72" s="713" t="e">
        <f>IF($BY$72=1,ROUNDDOWN(CE12*CC68/CC69,0),0)</f>
        <v>#DIV/0!</v>
      </c>
      <c r="CD72" s="4"/>
      <c r="CE72" s="4"/>
      <c r="CF72" s="4"/>
      <c r="CG72" s="4"/>
      <c r="CH72" s="4"/>
      <c r="CI72" s="13"/>
      <c r="CK72" s="280"/>
      <c r="CL72" s="283" t="s">
        <v>192</v>
      </c>
      <c r="CM72" s="288">
        <f t="shared" si="50"/>
        <v>0</v>
      </c>
      <c r="CN72" s="291"/>
      <c r="CO72" s="288">
        <f>IF($CN$77=0,0,IF($CN$77&gt;=4,1,IF($CN$77&lt;=-4,-1,0)))</f>
        <v>0</v>
      </c>
      <c r="CP72" s="288">
        <f t="shared" si="51"/>
        <v>0</v>
      </c>
      <c r="CR72" s="56"/>
    </row>
    <row r="73" spans="1:96" ht="18" customHeight="1">
      <c r="A73" s="58" t="s">
        <v>1</v>
      </c>
      <c r="B73" s="52"/>
      <c r="C73" s="189">
        <f>IF(H70&gt;0,$X$13,0)</f>
        <v>0</v>
      </c>
      <c r="D73" s="203" t="s">
        <v>6</v>
      </c>
      <c r="E73" s="60" t="s">
        <v>131</v>
      </c>
      <c r="F73" s="1204">
        <f>K67</f>
        <v>0</v>
      </c>
      <c r="G73" s="1204"/>
      <c r="H73" s="216" t="s">
        <v>5</v>
      </c>
      <c r="I73" s="1451" t="s">
        <v>14</v>
      </c>
      <c r="J73" s="1451"/>
      <c r="K73" s="1204">
        <f>C73*F73</f>
        <v>0</v>
      </c>
      <c r="L73" s="1204"/>
      <c r="M73" s="204" t="s">
        <v>6</v>
      </c>
      <c r="N73" s="204"/>
      <c r="O73" s="205"/>
      <c r="P73" s="205"/>
      <c r="Q73" s="63"/>
      <c r="R73" s="206"/>
      <c r="S73" s="59"/>
      <c r="T73" s="27"/>
      <c r="U73" s="207"/>
      <c r="V73" s="27"/>
      <c r="W73" s="188"/>
      <c r="X73" s="189"/>
      <c r="Y73" s="208"/>
      <c r="Z73" s="163"/>
      <c r="AB73" s="4"/>
      <c r="AC73" s="492"/>
      <c r="AD73" s="4"/>
      <c r="AE73" s="74"/>
      <c r="AF73" s="237"/>
      <c r="AG73" s="4"/>
      <c r="AH73" s="4"/>
      <c r="AI73" s="174"/>
      <c r="AJ73" s="174"/>
      <c r="AK73" s="174"/>
      <c r="AL73" s="174"/>
      <c r="AM73" s="174"/>
      <c r="AN73" s="174"/>
      <c r="AO73" s="1322" t="s">
        <v>256</v>
      </c>
      <c r="AP73" s="1322"/>
      <c r="AQ73" s="487"/>
      <c r="AR73" s="487"/>
      <c r="AS73" s="174"/>
      <c r="AT73" s="1306" t="s">
        <v>249</v>
      </c>
      <c r="AU73" s="1306"/>
      <c r="AV73" s="380"/>
      <c r="AW73" s="380"/>
      <c r="AX73" s="379"/>
      <c r="AY73" s="1307" t="s">
        <v>249</v>
      </c>
      <c r="AZ73" s="1306"/>
      <c r="BA73" s="319"/>
      <c r="BB73" s="412"/>
      <c r="BC73" s="379"/>
      <c r="BD73" s="452"/>
      <c r="BE73" s="26"/>
      <c r="BF73" s="4" t="s">
        <v>261</v>
      </c>
      <c r="BH73" s="12"/>
      <c r="BJ73" s="26"/>
      <c r="BM73" s="12"/>
      <c r="BO73" s="26"/>
      <c r="BQ73" s="462"/>
      <c r="BR73" s="12"/>
      <c r="BS73" s="12"/>
      <c r="BT73" s="12"/>
      <c r="BU73" s="12"/>
      <c r="BV73" s="12"/>
      <c r="BW73" s="12"/>
      <c r="BX73" s="4"/>
      <c r="BY73" s="26"/>
      <c r="BZ73" s="26"/>
      <c r="CA73" s="26"/>
      <c r="CB73" s="26"/>
      <c r="CC73" s="4"/>
      <c r="CD73" s="4"/>
      <c r="CE73" s="4"/>
      <c r="CF73" s="4"/>
      <c r="CG73" s="4"/>
      <c r="CH73" s="4"/>
      <c r="CI73" s="13"/>
      <c r="CK73" s="280"/>
      <c r="CL73" s="283" t="s">
        <v>193</v>
      </c>
      <c r="CM73" s="288">
        <f t="shared" si="50"/>
        <v>0</v>
      </c>
      <c r="CN73" s="291"/>
      <c r="CO73" s="288">
        <f>IF($CN$77=0,0,IF($CN$77&gt;=3,1,IF($CN$77&lt;=-3,-1,0)))</f>
        <v>0</v>
      </c>
      <c r="CP73" s="288">
        <f t="shared" si="51"/>
        <v>0</v>
      </c>
      <c r="CR73" s="56"/>
    </row>
    <row r="74" spans="1:96" ht="18" customHeight="1">
      <c r="D74" s="101"/>
      <c r="E74" s="70"/>
      <c r="G74" s="9"/>
      <c r="H74" s="102"/>
      <c r="I74" s="5"/>
      <c r="J74" s="9"/>
      <c r="K74" s="18"/>
      <c r="M74" s="103"/>
      <c r="P74" s="103"/>
      <c r="Q74" s="70"/>
      <c r="R74" s="104"/>
      <c r="S74" s="68"/>
      <c r="T74" s="68"/>
      <c r="U74" s="68"/>
      <c r="V74" s="18"/>
      <c r="AA74" s="16"/>
      <c r="AB74" s="16"/>
      <c r="AC74" s="493"/>
      <c r="AD74" s="16"/>
      <c r="AE74" s="227"/>
      <c r="AF74" s="233"/>
      <c r="AG74" s="16"/>
      <c r="AH74" s="16"/>
      <c r="AI74" s="172"/>
      <c r="AJ74" s="172"/>
      <c r="AK74" s="172"/>
      <c r="AL74" s="172"/>
      <c r="AM74" s="172"/>
      <c r="AN74" s="174"/>
      <c r="AO74" s="1455" t="s">
        <v>214</v>
      </c>
      <c r="AP74" s="1455"/>
      <c r="AQ74" s="1323" t="s">
        <v>213</v>
      </c>
      <c r="AR74" s="1323"/>
      <c r="AS74" s="172"/>
      <c r="AT74" s="1310" t="s">
        <v>242</v>
      </c>
      <c r="AU74" s="1310"/>
      <c r="AV74" s="1310"/>
      <c r="AW74" s="1310"/>
      <c r="AX74" s="379"/>
      <c r="AY74" s="406" t="s">
        <v>257</v>
      </c>
      <c r="AZ74" s="1308" t="s">
        <v>258</v>
      </c>
      <c r="BA74" s="1308"/>
      <c r="BB74" s="1309"/>
      <c r="BC74" s="379"/>
      <c r="BD74" s="1267" t="s">
        <v>259</v>
      </c>
      <c r="BE74" s="1268"/>
      <c r="BF74" s="1268"/>
      <c r="BG74" s="1268"/>
      <c r="BH74" s="12"/>
      <c r="BI74" s="440" t="s">
        <v>262</v>
      </c>
      <c r="BJ74" s="1269" t="s">
        <v>263</v>
      </c>
      <c r="BK74" s="1269"/>
      <c r="BL74" s="1269"/>
      <c r="BM74" s="12"/>
      <c r="BO74" s="143" t="s">
        <v>126</v>
      </c>
      <c r="BP74" s="12" t="s">
        <v>88</v>
      </c>
      <c r="BQ74" s="449"/>
      <c r="BR74" s="12"/>
      <c r="BS74" s="12"/>
      <c r="BT74" s="12"/>
      <c r="BU74" s="12"/>
      <c r="BV74" s="12"/>
      <c r="BW74" s="12"/>
      <c r="BX74" s="4"/>
      <c r="BY74" s="4"/>
      <c r="BZ74" s="4"/>
      <c r="CA74" s="4"/>
      <c r="CB74" s="4"/>
      <c r="CC74" s="4"/>
      <c r="CD74" s="4"/>
      <c r="CE74" s="4"/>
      <c r="CF74" s="4"/>
      <c r="CG74" s="4"/>
      <c r="CH74" s="4"/>
      <c r="CI74" s="13"/>
      <c r="CK74" s="280"/>
      <c r="CL74" s="283" t="s">
        <v>194</v>
      </c>
      <c r="CM74" s="288">
        <f t="shared" si="50"/>
        <v>0</v>
      </c>
      <c r="CN74" s="291"/>
      <c r="CO74" s="288">
        <f>IF($CN$77=0,0,IF($CN$77&gt;=2,1,IF($CN$77&lt;=-2,-1,0)))</f>
        <v>0</v>
      </c>
      <c r="CP74" s="288">
        <f t="shared" si="51"/>
        <v>0</v>
      </c>
      <c r="CR74" s="56"/>
    </row>
    <row r="75" spans="1:96" ht="18" customHeight="1">
      <c r="A75" s="196" t="s">
        <v>49</v>
      </c>
      <c r="B75" s="1382">
        <f>入力画面!C42</f>
        <v>0</v>
      </c>
      <c r="C75" s="1382"/>
      <c r="D75" s="1382"/>
      <c r="E75" s="198" t="s">
        <v>11</v>
      </c>
      <c r="F75" s="1412" t="s">
        <v>57</v>
      </c>
      <c r="G75" s="1412"/>
      <c r="H75" s="1412"/>
      <c r="I75" s="1449">
        <f>IF(入力画面!I45&gt;0,1,0)</f>
        <v>0</v>
      </c>
      <c r="J75" s="1450"/>
      <c r="K75" s="1373">
        <f>IF(H80=0,0,IF($K$8=0, "加入月が未入力です!！",IF($L$87=$A$87,"限度超過額に達しているため計算不可能!!",IF(U77-U76=U78,"エラー名前を入力されているが加入月未入力!！",IF(H80&gt;K77,"加入月未入力エラー!！",0)))))</f>
        <v>0</v>
      </c>
      <c r="L75" s="1374"/>
      <c r="M75" s="1374"/>
      <c r="N75" s="1374"/>
      <c r="O75" s="1374"/>
      <c r="P75" s="1374"/>
      <c r="Q75" s="1374"/>
      <c r="R75" s="1374"/>
      <c r="S75" s="1375"/>
      <c r="T75" s="197" t="s">
        <v>47</v>
      </c>
      <c r="U75" s="1383">
        <f>IF(U80&gt;0,"医療分",0)</f>
        <v>0</v>
      </c>
      <c r="V75" s="1384"/>
      <c r="W75" s="1385" t="s">
        <v>46</v>
      </c>
      <c r="X75" s="1164"/>
      <c r="Y75" s="1164"/>
      <c r="Z75" s="1165"/>
      <c r="AA75" s="26"/>
      <c r="AB75" s="26"/>
      <c r="AC75" s="494"/>
      <c r="AD75" s="26"/>
      <c r="AE75" s="489"/>
      <c r="AF75" s="238" t="s">
        <v>117</v>
      </c>
      <c r="AG75" s="26"/>
      <c r="AH75" s="276">
        <f>IF(K77=0,0,IF(K77&lt;12,1,0))</f>
        <v>0</v>
      </c>
      <c r="AI75" s="173"/>
      <c r="AJ75" s="173"/>
      <c r="AK75" s="173"/>
      <c r="AL75" s="173"/>
      <c r="AM75" s="173"/>
      <c r="AN75" s="369" t="s">
        <v>150</v>
      </c>
      <c r="AO75" s="1324" t="s">
        <v>46</v>
      </c>
      <c r="AP75" s="1325"/>
      <c r="AQ75" s="1399">
        <f>IF(R77+R80=0,0,IF(K78&gt;K77,"期割がアンマッチ使用禁止↓",0))</f>
        <v>0</v>
      </c>
      <c r="AR75" s="1400"/>
      <c r="AS75" s="173"/>
      <c r="AT75" s="1311" t="s">
        <v>46</v>
      </c>
      <c r="AU75" s="1312"/>
      <c r="AV75" s="1313"/>
      <c r="AW75" s="1314"/>
      <c r="AX75" s="379"/>
      <c r="AY75" s="1319" t="s">
        <v>46</v>
      </c>
      <c r="AZ75" s="1312"/>
      <c r="BA75" s="1313">
        <f>IF($R$17+$R80=0,0,IF($K$18&gt;$K$17,"期割がアンマッチ使用禁止↓",0))</f>
        <v>0</v>
      </c>
      <c r="BB75" s="1346"/>
      <c r="BC75" s="379"/>
      <c r="BD75" s="1272" t="s">
        <v>46</v>
      </c>
      <c r="BE75" s="1273"/>
      <c r="BF75" s="1304" t="s">
        <v>87</v>
      </c>
      <c r="BG75" s="1305"/>
      <c r="BH75" s="12"/>
      <c r="BI75" s="1139" t="s">
        <v>46</v>
      </c>
      <c r="BJ75" s="1273"/>
      <c r="BK75" s="1270"/>
      <c r="BL75" s="1271"/>
      <c r="BM75" s="12"/>
      <c r="BN75" s="1139" t="s">
        <v>46</v>
      </c>
      <c r="BO75" s="1273"/>
      <c r="BP75" s="1270"/>
      <c r="BQ75" s="1278"/>
      <c r="BR75" s="12"/>
      <c r="BS75" s="12"/>
      <c r="BT75" s="12"/>
      <c r="BU75" s="106" t="s">
        <v>56</v>
      </c>
      <c r="BV75" s="32" t="s">
        <v>8</v>
      </c>
      <c r="BW75" s="12"/>
      <c r="BX75" s="4"/>
      <c r="BY75" s="4"/>
      <c r="BZ75" s="4"/>
      <c r="CA75" s="4"/>
      <c r="CB75" s="4"/>
      <c r="CC75" s="4"/>
      <c r="CD75" s="4"/>
      <c r="CE75" s="4"/>
      <c r="CF75" s="4"/>
      <c r="CG75" s="4"/>
      <c r="CH75" s="4"/>
      <c r="CI75" s="13"/>
      <c r="CK75" s="280"/>
      <c r="CL75" s="283" t="s">
        <v>195</v>
      </c>
      <c r="CM75" s="288">
        <f t="shared" si="50"/>
        <v>0</v>
      </c>
      <c r="CN75" s="292" t="s">
        <v>206</v>
      </c>
      <c r="CO75" s="288">
        <f>IF($CN$77=0,0,IF($CN$77&gt;=1,1,IF($CN$77&lt;=-1,-1,0)))</f>
        <v>0</v>
      </c>
      <c r="CP75" s="288">
        <f t="shared" si="51"/>
        <v>0</v>
      </c>
      <c r="CR75" s="56"/>
    </row>
    <row r="76" spans="1:96" ht="18" customHeight="1">
      <c r="A76" s="165"/>
      <c r="B76" s="12"/>
      <c r="C76" s="75" t="s">
        <v>33</v>
      </c>
      <c r="D76" s="12"/>
      <c r="E76" s="12"/>
      <c r="F76" s="12"/>
      <c r="G76" s="12"/>
      <c r="H76" s="50"/>
      <c r="I76" s="93"/>
      <c r="J76" s="12"/>
      <c r="K76" s="76" t="s">
        <v>9</v>
      </c>
      <c r="L76" s="12"/>
      <c r="M76" s="1414"/>
      <c r="N76" s="1414"/>
      <c r="O76" s="1414"/>
      <c r="P76" s="1414"/>
      <c r="Q76" s="1414"/>
      <c r="R76" s="1414"/>
      <c r="S76" s="1415"/>
      <c r="T76" s="72" t="s">
        <v>30</v>
      </c>
      <c r="U76" s="105">
        <f>R77+R80</f>
        <v>0</v>
      </c>
      <c r="V76" s="88" t="s">
        <v>6</v>
      </c>
      <c r="W76" s="80" t="s">
        <v>34</v>
      </c>
      <c r="X76" s="29">
        <f t="shared" ref="X76:X81" si="53">IF($AH$13&gt;0,0,AZ76)</f>
        <v>0</v>
      </c>
      <c r="Y76" s="80" t="s">
        <v>39</v>
      </c>
      <c r="Z76" s="31">
        <f>IF($AH$13&gt;0,0,BB76)</f>
        <v>0</v>
      </c>
      <c r="AA76" s="26"/>
      <c r="AB76" s="26"/>
      <c r="AC76" s="494"/>
      <c r="AD76" s="26"/>
      <c r="AE76" s="489"/>
      <c r="AF76" s="219">
        <f>AF77+AF80+AF83</f>
        <v>0</v>
      </c>
      <c r="AG76" s="26"/>
      <c r="AH76" s="26"/>
      <c r="AI76" s="173"/>
      <c r="AJ76" s="173"/>
      <c r="AK76" s="173"/>
      <c r="AL76" s="173"/>
      <c r="AM76" s="173"/>
      <c r="AN76" s="174"/>
      <c r="AO76" s="325" t="s">
        <v>34</v>
      </c>
      <c r="AP76" s="326">
        <f>AR80-(AP77+AP78+AP79+AP80+AP81+AR76+AR77+AR78+AR79)</f>
        <v>0</v>
      </c>
      <c r="AQ76" s="327" t="s">
        <v>39</v>
      </c>
      <c r="AR76" s="358">
        <f>ROUNDDOWN(AR80/10,-2)</f>
        <v>0</v>
      </c>
      <c r="AS76" s="173"/>
      <c r="AT76" s="316" t="s">
        <v>34</v>
      </c>
      <c r="AU76" s="377">
        <f t="shared" ref="AU76:AU81" si="54">IF($AG$2&gt;0,"限度超過",AP76-AZ165-AZ254)</f>
        <v>0</v>
      </c>
      <c r="AV76" s="314" t="s">
        <v>39</v>
      </c>
      <c r="AW76" s="378">
        <f>IF($AG$2&gt;0,"限度超過",AR76-BB165-BB254)</f>
        <v>0</v>
      </c>
      <c r="AX76" s="379"/>
      <c r="AY76" s="407" t="s">
        <v>34</v>
      </c>
      <c r="AZ76" s="313">
        <f t="shared" ref="AZ76:AZ81" si="55">AU76</f>
        <v>0</v>
      </c>
      <c r="BA76" s="314" t="s">
        <v>39</v>
      </c>
      <c r="BB76" s="408">
        <f>AW76</f>
        <v>0</v>
      </c>
      <c r="BC76" s="379"/>
      <c r="BD76" s="451" t="s">
        <v>34</v>
      </c>
      <c r="BE76" s="81">
        <f t="shared" ref="BE76:BE81" si="56">BE66</f>
        <v>0</v>
      </c>
      <c r="BF76" s="82" t="s">
        <v>39</v>
      </c>
      <c r="BG76" s="29">
        <f>BG66</f>
        <v>0</v>
      </c>
      <c r="BH76" s="12"/>
      <c r="BI76" s="80" t="s">
        <v>34</v>
      </c>
      <c r="BJ76" s="29">
        <f t="shared" ref="BJ76:BJ81" si="57">IF($A$87=$L$87,"限度超過",IF(BE76=0,0,BE76/$S$5))</f>
        <v>0</v>
      </c>
      <c r="BK76" s="80" t="s">
        <v>39</v>
      </c>
      <c r="BL76" s="29">
        <f>IF($A$87=$L$87,"限度超過",IF(BG76=0,0,BG76/$S$5))</f>
        <v>0</v>
      </c>
      <c r="BM76" s="12"/>
      <c r="BN76" s="30" t="s">
        <v>34</v>
      </c>
      <c r="BO76" s="29">
        <f t="shared" ref="BO76:BO81" si="58">IF($A$87=$L$87,"限度超過",IF($S$5&lt;=6,0,BJ76))</f>
        <v>0</v>
      </c>
      <c r="BP76" s="80" t="s">
        <v>39</v>
      </c>
      <c r="BQ76" s="460">
        <f>IF($A$87=$L$87,"限度超過",IF($S$5&lt;=6,0,BL76))</f>
        <v>0</v>
      </c>
      <c r="BR76" s="12"/>
      <c r="BS76" s="12"/>
      <c r="BT76" s="12"/>
      <c r="BU76" s="32" t="s">
        <v>132</v>
      </c>
      <c r="BV76" s="45">
        <f>K17</f>
        <v>12</v>
      </c>
      <c r="BW76" s="12"/>
      <c r="BX76" s="32"/>
      <c r="BY76" s="33" t="str">
        <f>BY66</f>
        <v>料率</v>
      </c>
      <c r="BZ76" s="33">
        <f>BZ66</f>
        <v>7</v>
      </c>
      <c r="CA76" s="33">
        <f>CA66</f>
        <v>5</v>
      </c>
      <c r="CB76" s="33">
        <f>CB66</f>
        <v>2</v>
      </c>
      <c r="CC76" s="713" t="s">
        <v>467</v>
      </c>
      <c r="CD76" s="4"/>
      <c r="CE76" s="4"/>
      <c r="CF76" s="4"/>
      <c r="CG76" s="4"/>
      <c r="CH76" s="4"/>
      <c r="CI76" s="13"/>
      <c r="CK76" s="280"/>
      <c r="CL76" s="283"/>
      <c r="CM76" s="309"/>
      <c r="CN76" s="293" t="s">
        <v>210</v>
      </c>
      <c r="CO76" s="291"/>
      <c r="CP76" s="291"/>
      <c r="CR76" s="56"/>
    </row>
    <row r="77" spans="1:96" ht="18" customHeight="1">
      <c r="A77" s="1421" t="s">
        <v>0</v>
      </c>
      <c r="B77" s="1448" t="s">
        <v>129</v>
      </c>
      <c r="C77" s="1376">
        <f>入力画面!R44</f>
        <v>0</v>
      </c>
      <c r="D77" s="855" t="s">
        <v>58</v>
      </c>
      <c r="E77" s="1416">
        <f>IF(H80&gt;0,$CE$11, 0)</f>
        <v>0</v>
      </c>
      <c r="F77" s="1380" t="s">
        <v>22</v>
      </c>
      <c r="G77" s="855" t="s">
        <v>59</v>
      </c>
      <c r="H77" s="85">
        <f>IF(H80&gt;0,$CE$7,0)</f>
        <v>0</v>
      </c>
      <c r="I77" s="1277" t="s">
        <v>22</v>
      </c>
      <c r="J77" s="855" t="s">
        <v>59</v>
      </c>
      <c r="K77" s="51">
        <f>入力画面!I43</f>
        <v>0</v>
      </c>
      <c r="L77" s="52" t="s">
        <v>5</v>
      </c>
      <c r="M77" s="1380"/>
      <c r="N77" s="1407"/>
      <c r="O77" s="86"/>
      <c r="P77" s="1377" t="s">
        <v>130</v>
      </c>
      <c r="Q77" s="1377"/>
      <c r="R77" s="1403">
        <f>ROUNDDOWN(IF(((C77-E77)*H77/H78)*K77/K78&lt;0,0,((C77-E77)*H77/H78)*K77/K78),0)</f>
        <v>0</v>
      </c>
      <c r="S77" s="1408" t="s">
        <v>6</v>
      </c>
      <c r="T77" s="72" t="s">
        <v>1</v>
      </c>
      <c r="U77" s="105">
        <f>IF(H80=0,0,K83)</f>
        <v>0</v>
      </c>
      <c r="V77" s="88" t="s">
        <v>6</v>
      </c>
      <c r="W77" s="30" t="s">
        <v>35</v>
      </c>
      <c r="X77" s="29">
        <f t="shared" si="53"/>
        <v>0</v>
      </c>
      <c r="Y77" s="30" t="s">
        <v>40</v>
      </c>
      <c r="Z77" s="31">
        <f>IF($AH$13&gt;0,0,BB77)</f>
        <v>0</v>
      </c>
      <c r="AA77" s="26"/>
      <c r="AB77" s="26"/>
      <c r="AC77" s="494"/>
      <c r="AD77" s="26"/>
      <c r="AE77" s="489"/>
      <c r="AF77" s="1360">
        <f>ROUNDDOWN(IF(((C77-E77)*H77/H78)&lt;0,0,((C77-E77)*H77/H78)),0)</f>
        <v>0</v>
      </c>
      <c r="AG77" s="26"/>
      <c r="AH77" s="26"/>
      <c r="AI77" s="173"/>
      <c r="AJ77" s="173"/>
      <c r="AK77" s="173"/>
      <c r="AL77" s="173"/>
      <c r="AM77" s="173"/>
      <c r="AN77" s="174"/>
      <c r="AO77" s="328" t="s">
        <v>35</v>
      </c>
      <c r="AP77" s="326">
        <f>ROUNDDOWN(AR80/10,-2)</f>
        <v>0</v>
      </c>
      <c r="AQ77" s="327" t="s">
        <v>40</v>
      </c>
      <c r="AR77" s="358">
        <f>ROUNDDOWN(AR80/10,-2)</f>
        <v>0</v>
      </c>
      <c r="AS77" s="173"/>
      <c r="AT77" s="316" t="s">
        <v>35</v>
      </c>
      <c r="AU77" s="377">
        <f t="shared" si="54"/>
        <v>0</v>
      </c>
      <c r="AV77" s="314" t="s">
        <v>40</v>
      </c>
      <c r="AW77" s="378">
        <f>IF($AG$2&gt;0,"限度超過",AR77-BB166-BB255)</f>
        <v>0</v>
      </c>
      <c r="AX77" s="379"/>
      <c r="AY77" s="409" t="s">
        <v>35</v>
      </c>
      <c r="AZ77" s="313">
        <f t="shared" si="55"/>
        <v>0</v>
      </c>
      <c r="BA77" s="314" t="s">
        <v>40</v>
      </c>
      <c r="BB77" s="408">
        <f>AW77</f>
        <v>0</v>
      </c>
      <c r="BC77" s="379"/>
      <c r="BD77" s="451" t="s">
        <v>35</v>
      </c>
      <c r="BE77" s="81">
        <f t="shared" si="56"/>
        <v>0</v>
      </c>
      <c r="BF77" s="82" t="s">
        <v>40</v>
      </c>
      <c r="BG77" s="29">
        <f>BG67</f>
        <v>0</v>
      </c>
      <c r="BH77" s="12"/>
      <c r="BI77" s="30" t="s">
        <v>35</v>
      </c>
      <c r="BJ77" s="29">
        <f t="shared" si="57"/>
        <v>0</v>
      </c>
      <c r="BK77" s="30" t="s">
        <v>40</v>
      </c>
      <c r="BL77" s="29">
        <f>IF($A$87=$L$87,"限度超過",IF(BG77=0,0,BG77/$S$5))</f>
        <v>0</v>
      </c>
      <c r="BM77" s="12"/>
      <c r="BN77" s="30" t="s">
        <v>35</v>
      </c>
      <c r="BO77" s="29">
        <f t="shared" si="58"/>
        <v>0</v>
      </c>
      <c r="BP77" s="30" t="s">
        <v>40</v>
      </c>
      <c r="BQ77" s="460">
        <f>IF($A$87=$L$87,"限度超過",IF($S$5&lt;=6,0,BL77))</f>
        <v>0</v>
      </c>
      <c r="BR77" s="12"/>
      <c r="BS77" s="12"/>
      <c r="BT77" s="12"/>
      <c r="BU77" s="32" t="s">
        <v>133</v>
      </c>
      <c r="BV77" s="45">
        <f>K27</f>
        <v>0</v>
      </c>
      <c r="BW77" s="12"/>
      <c r="BX77" s="32" t="s">
        <v>17</v>
      </c>
      <c r="BY77" s="44">
        <v>0</v>
      </c>
      <c r="BZ77" s="45">
        <f>$CF$8</f>
        <v>18250</v>
      </c>
      <c r="CA77" s="45">
        <f>$CG$8</f>
        <v>13030</v>
      </c>
      <c r="CB77" s="45">
        <f>$CH$8</f>
        <v>5220</v>
      </c>
      <c r="CC77" s="713"/>
      <c r="CD77" s="4"/>
      <c r="CE77" s="4"/>
      <c r="CF77" s="4"/>
      <c r="CG77" s="4"/>
      <c r="CH77" s="4"/>
      <c r="CI77" s="13"/>
      <c r="CK77" s="280"/>
      <c r="CL77" s="283" t="s">
        <v>205</v>
      </c>
      <c r="CM77" s="288">
        <f>SUM(CM66:CM75)</f>
        <v>0</v>
      </c>
      <c r="CN77" s="288">
        <f>CM65-CM77</f>
        <v>0</v>
      </c>
      <c r="CO77" s="291"/>
      <c r="CP77" s="291"/>
      <c r="CR77" s="56"/>
    </row>
    <row r="78" spans="1:96" ht="18" customHeight="1">
      <c r="A78" s="1421"/>
      <c r="B78" s="1448"/>
      <c r="C78" s="1376"/>
      <c r="D78" s="855"/>
      <c r="E78" s="1416"/>
      <c r="F78" s="1380"/>
      <c r="G78" s="855"/>
      <c r="H78" s="39">
        <v>100</v>
      </c>
      <c r="I78" s="1277"/>
      <c r="J78" s="855"/>
      <c r="K78" s="55">
        <v>12</v>
      </c>
      <c r="L78" s="12" t="s">
        <v>5</v>
      </c>
      <c r="M78" s="1380"/>
      <c r="N78" s="1407"/>
      <c r="O78" s="86"/>
      <c r="P78" s="1377"/>
      <c r="Q78" s="1377"/>
      <c r="R78" s="1403"/>
      <c r="S78" s="1408"/>
      <c r="T78" s="72" t="s">
        <v>29</v>
      </c>
      <c r="U78" s="105">
        <f>U76+U77</f>
        <v>0</v>
      </c>
      <c r="V78" s="88" t="s">
        <v>6</v>
      </c>
      <c r="W78" s="30" t="s">
        <v>36</v>
      </c>
      <c r="X78" s="29">
        <f t="shared" si="53"/>
        <v>0</v>
      </c>
      <c r="Y78" s="30" t="s">
        <v>41</v>
      </c>
      <c r="Z78" s="31">
        <f>IF($AH$13&gt;0,0,BB78)</f>
        <v>0</v>
      </c>
      <c r="AA78" s="26"/>
      <c r="AB78" s="26"/>
      <c r="AC78" s="494"/>
      <c r="AD78" s="26"/>
      <c r="AE78" s="489"/>
      <c r="AF78" s="1360"/>
      <c r="AG78" s="26"/>
      <c r="AH78" s="26"/>
      <c r="AI78" s="173"/>
      <c r="AJ78" s="173"/>
      <c r="AK78" s="173"/>
      <c r="AL78" s="173"/>
      <c r="AM78" s="173"/>
      <c r="AN78" s="174"/>
      <c r="AO78" s="328" t="s">
        <v>36</v>
      </c>
      <c r="AP78" s="326">
        <f>ROUNDDOWN(AR80/10,-2)</f>
        <v>0</v>
      </c>
      <c r="AQ78" s="327" t="s">
        <v>41</v>
      </c>
      <c r="AR78" s="358">
        <f>ROUNDDOWN(AR80/10,-2)</f>
        <v>0</v>
      </c>
      <c r="AS78" s="173"/>
      <c r="AT78" s="316" t="s">
        <v>36</v>
      </c>
      <c r="AU78" s="377">
        <f t="shared" si="54"/>
        <v>0</v>
      </c>
      <c r="AV78" s="314" t="s">
        <v>41</v>
      </c>
      <c r="AW78" s="378">
        <f>IF($AG$2&gt;0,"限度超過",AR78-BB167-BB256)</f>
        <v>0</v>
      </c>
      <c r="AX78" s="379"/>
      <c r="AY78" s="409" t="s">
        <v>36</v>
      </c>
      <c r="AZ78" s="313">
        <f t="shared" si="55"/>
        <v>0</v>
      </c>
      <c r="BA78" s="314" t="s">
        <v>41</v>
      </c>
      <c r="BB78" s="408">
        <f>AW78</f>
        <v>0</v>
      </c>
      <c r="BC78" s="379"/>
      <c r="BD78" s="451" t="s">
        <v>36</v>
      </c>
      <c r="BE78" s="81">
        <f t="shared" si="56"/>
        <v>0</v>
      </c>
      <c r="BF78" s="82" t="s">
        <v>41</v>
      </c>
      <c r="BG78" s="29">
        <f>BG68</f>
        <v>0</v>
      </c>
      <c r="BH78" s="12"/>
      <c r="BI78" s="30" t="s">
        <v>36</v>
      </c>
      <c r="BJ78" s="29">
        <f t="shared" si="57"/>
        <v>0</v>
      </c>
      <c r="BK78" s="30" t="s">
        <v>41</v>
      </c>
      <c r="BL78" s="29">
        <f>IF($A$87=$L$87,"限度超過",IF(BG78=0,0,BG78/$S$5))</f>
        <v>0</v>
      </c>
      <c r="BM78" s="12"/>
      <c r="BN78" s="30" t="s">
        <v>36</v>
      </c>
      <c r="BO78" s="29">
        <f t="shared" si="58"/>
        <v>0</v>
      </c>
      <c r="BP78" s="30" t="s">
        <v>41</v>
      </c>
      <c r="BQ78" s="460">
        <f>IF($A$87=$L$87,"限度超過",IF($S$5&lt;=6,0,BL78))</f>
        <v>0</v>
      </c>
      <c r="BR78" s="12"/>
      <c r="BS78" s="12"/>
      <c r="BT78" s="12"/>
      <c r="BU78" s="32" t="s">
        <v>134</v>
      </c>
      <c r="BV78" s="45">
        <f>K37</f>
        <v>0</v>
      </c>
      <c r="BW78" s="12"/>
      <c r="BX78" s="32" t="s">
        <v>8</v>
      </c>
      <c r="BY78" s="45">
        <f>K80</f>
        <v>0</v>
      </c>
      <c r="BZ78" s="45">
        <f t="shared" ref="BZ78:CB80" si="59">BY78</f>
        <v>0</v>
      </c>
      <c r="CA78" s="45">
        <f t="shared" si="59"/>
        <v>0</v>
      </c>
      <c r="CB78" s="45">
        <f t="shared" si="59"/>
        <v>0</v>
      </c>
      <c r="CC78" s="713">
        <f>CB78</f>
        <v>0</v>
      </c>
      <c r="CD78" s="4"/>
      <c r="CE78" s="4"/>
      <c r="CF78" s="4"/>
      <c r="CG78" s="4"/>
      <c r="CH78" s="4"/>
      <c r="CI78" s="13"/>
      <c r="CK78" s="280"/>
      <c r="CL78" s="286"/>
      <c r="CM78" s="308" t="s">
        <v>211</v>
      </c>
      <c r="CN78" s="291"/>
      <c r="CO78" s="291"/>
      <c r="CP78" s="291"/>
      <c r="CR78" s="56"/>
    </row>
    <row r="79" spans="1:96" ht="18" customHeight="1">
      <c r="A79" s="165"/>
      <c r="B79" s="12"/>
      <c r="C79" s="50"/>
      <c r="D79" s="12"/>
      <c r="E79" s="12"/>
      <c r="F79" s="12"/>
      <c r="G79" s="12"/>
      <c r="H79" s="91"/>
      <c r="I79" s="75"/>
      <c r="J79" s="75"/>
      <c r="K79" s="92"/>
      <c r="L79" s="75"/>
      <c r="M79" s="93"/>
      <c r="N79" s="714" t="str">
        <f>IF(入力画面!E42=1,"未就学児",0)</f>
        <v>未就学児</v>
      </c>
      <c r="O79" s="42">
        <f>IF(H80=0,0,$D$5)</f>
        <v>0</v>
      </c>
      <c r="P79" s="466">
        <f>IF(O80=0,0,"軽減額")</f>
        <v>0</v>
      </c>
      <c r="Q79" s="12"/>
      <c r="R79" s="95"/>
      <c r="S79" s="49"/>
      <c r="T79" s="96" t="s">
        <v>31</v>
      </c>
      <c r="U79" s="105">
        <f>ROUNDDOWN(U78,-2)</f>
        <v>0</v>
      </c>
      <c r="V79" s="88" t="s">
        <v>6</v>
      </c>
      <c r="W79" s="30" t="s">
        <v>43</v>
      </c>
      <c r="X79" s="29">
        <f t="shared" si="53"/>
        <v>0</v>
      </c>
      <c r="Y79" s="30" t="s">
        <v>42</v>
      </c>
      <c r="Z79" s="31">
        <f>IF($AH$13&gt;0,0,BB79)</f>
        <v>0</v>
      </c>
      <c r="AA79" s="26"/>
      <c r="AB79" s="26"/>
      <c r="AC79" s="494"/>
      <c r="AD79" s="26"/>
      <c r="AE79" s="500" t="str">
        <f>IF($AH$13&gt;0,"－",IF($AG$2&gt;0,"限度超過",IF(U80=Z80,"OK","ｱﾝﾏｯﾁ")))</f>
        <v>OK</v>
      </c>
      <c r="AF79" s="499"/>
      <c r="AG79" s="26"/>
      <c r="AI79" s="173"/>
      <c r="AJ79" s="173"/>
      <c r="AK79" s="173"/>
      <c r="AL79" s="173"/>
      <c r="AM79" s="173"/>
      <c r="AN79" s="174"/>
      <c r="AO79" s="328" t="s">
        <v>43</v>
      </c>
      <c r="AP79" s="326">
        <f>ROUNDDOWN(AR80/10,-2)</f>
        <v>0</v>
      </c>
      <c r="AQ79" s="327" t="s">
        <v>42</v>
      </c>
      <c r="AR79" s="358">
        <f>ROUNDDOWN(AR80/10,-2)</f>
        <v>0</v>
      </c>
      <c r="AS79" s="173"/>
      <c r="AT79" s="316" t="s">
        <v>43</v>
      </c>
      <c r="AU79" s="377">
        <f t="shared" si="54"/>
        <v>0</v>
      </c>
      <c r="AV79" s="314" t="s">
        <v>42</v>
      </c>
      <c r="AW79" s="378">
        <f>IF($AG$2&gt;0,"限度超過",AR79-BB168-BB257)</f>
        <v>0</v>
      </c>
      <c r="AX79" s="379"/>
      <c r="AY79" s="409" t="s">
        <v>43</v>
      </c>
      <c r="AZ79" s="313">
        <f t="shared" si="55"/>
        <v>0</v>
      </c>
      <c r="BA79" s="314" t="s">
        <v>42</v>
      </c>
      <c r="BB79" s="408">
        <f>AW79</f>
        <v>0</v>
      </c>
      <c r="BC79" s="379"/>
      <c r="BD79" s="451" t="s">
        <v>43</v>
      </c>
      <c r="BE79" s="81">
        <f t="shared" si="56"/>
        <v>0</v>
      </c>
      <c r="BF79" s="82" t="s">
        <v>42</v>
      </c>
      <c r="BG79" s="29">
        <f>BG69</f>
        <v>0</v>
      </c>
      <c r="BH79" s="12"/>
      <c r="BI79" s="30" t="s">
        <v>43</v>
      </c>
      <c r="BJ79" s="29">
        <f t="shared" si="57"/>
        <v>0</v>
      </c>
      <c r="BK79" s="30" t="s">
        <v>42</v>
      </c>
      <c r="BL79" s="29">
        <f>IF($A$87=$L$87,"限度超過",IF(BG79=0,0,BG79/$S$5))</f>
        <v>0</v>
      </c>
      <c r="BM79" s="12"/>
      <c r="BN79" s="30" t="s">
        <v>43</v>
      </c>
      <c r="BO79" s="29">
        <f t="shared" si="58"/>
        <v>0</v>
      </c>
      <c r="BP79" s="30" t="s">
        <v>42</v>
      </c>
      <c r="BQ79" s="460">
        <f>IF($A$87=$L$87,"限度超過",IF($S$5&lt;=6,0,BL79))</f>
        <v>0</v>
      </c>
      <c r="BR79" s="12"/>
      <c r="BS79" s="12"/>
      <c r="BT79" s="12"/>
      <c r="BU79" s="32" t="s">
        <v>135</v>
      </c>
      <c r="BV79" s="45">
        <f>K47</f>
        <v>0</v>
      </c>
      <c r="BW79" s="12"/>
      <c r="BX79" s="32" t="s">
        <v>25</v>
      </c>
      <c r="BY79" s="45">
        <f>K81</f>
        <v>0</v>
      </c>
      <c r="BZ79" s="45">
        <f t="shared" si="59"/>
        <v>0</v>
      </c>
      <c r="CA79" s="45">
        <f t="shared" si="59"/>
        <v>0</v>
      </c>
      <c r="CB79" s="45">
        <f t="shared" si="59"/>
        <v>0</v>
      </c>
      <c r="CC79" s="713">
        <f>CB79</f>
        <v>0</v>
      </c>
      <c r="CD79" s="4"/>
      <c r="CE79" s="4"/>
      <c r="CF79" s="4"/>
      <c r="CG79" s="4"/>
      <c r="CH79" s="4"/>
      <c r="CI79" s="13"/>
      <c r="CK79" s="281"/>
      <c r="CL79" s="279"/>
      <c r="CM79" s="303" t="s">
        <v>184</v>
      </c>
      <c r="CN79" s="299"/>
      <c r="CO79" s="299"/>
      <c r="CP79" s="299"/>
      <c r="CR79" s="56"/>
    </row>
    <row r="80" spans="1:96" ht="18" customHeight="1">
      <c r="A80" s="1421" t="s">
        <v>10</v>
      </c>
      <c r="B80" s="12"/>
      <c r="C80" s="12"/>
      <c r="D80" s="1419" t="s">
        <v>7</v>
      </c>
      <c r="E80" s="1416">
        <f>IF(H80&gt;0,$CE$8,0)</f>
        <v>0</v>
      </c>
      <c r="F80" s="97"/>
      <c r="G80" s="855" t="s">
        <v>59</v>
      </c>
      <c r="H80" s="1413">
        <f>IF(B75=0,0,SUBTOTAL(3,B75))</f>
        <v>0</v>
      </c>
      <c r="I80" s="1277" t="s">
        <v>22</v>
      </c>
      <c r="J80" s="855" t="s">
        <v>59</v>
      </c>
      <c r="K80" s="51">
        <f>IF(H80&gt;0,K77,0)</f>
        <v>0</v>
      </c>
      <c r="L80" s="52" t="s">
        <v>5</v>
      </c>
      <c r="M80" s="1407" t="s">
        <v>122</v>
      </c>
      <c r="N80" s="1402">
        <f>IF(O80=0,0,"―")</f>
        <v>0</v>
      </c>
      <c r="O80" s="1404">
        <f>IF(H80=0,0,IF(BY82=0,IF($D$5=7,BZ81,IF($D$5=5,CA81,IF($D$5=2,CB81,CC81))),IF($D$5=7,BZ81+BZ82,IF($D$5=5,CA81+CA82,IF($D$5=2,CB81+CB82,CC81+CC82)))))</f>
        <v>0</v>
      </c>
      <c r="P80" s="1405"/>
      <c r="Q80" s="1377" t="s">
        <v>130</v>
      </c>
      <c r="R80" s="1403">
        <f>IF(H80&gt;0,IF(K77=0,0,ROUNDDOWN(((E80*H80)*K80/K81)-O80,0)),0)</f>
        <v>0</v>
      </c>
      <c r="S80" s="1381" t="s">
        <v>6</v>
      </c>
      <c r="T80" s="1388" t="s">
        <v>32</v>
      </c>
      <c r="U80" s="1387">
        <f>IF($L$87=$A$87,"限度超過!",U78)</f>
        <v>0</v>
      </c>
      <c r="V80" s="1389" t="s">
        <v>6</v>
      </c>
      <c r="W80" s="30" t="s">
        <v>37</v>
      </c>
      <c r="X80" s="29">
        <f t="shared" si="53"/>
        <v>0</v>
      </c>
      <c r="Y80" s="1199" t="s">
        <v>44</v>
      </c>
      <c r="Z80" s="1394">
        <f>IF($AH$13&gt;0,0,BB80)</f>
        <v>0</v>
      </c>
      <c r="AA80" s="4"/>
      <c r="AB80" s="4"/>
      <c r="AC80" s="492"/>
      <c r="AD80" s="4"/>
      <c r="AE80" s="500" t="str">
        <f>IF($AG$2&gt;0,"限度超過",IF(X76+X77+X78+X79+X80+X81+Z76+Z77+Z78+Z79=Z80,"OK","エラー"))</f>
        <v>OK</v>
      </c>
      <c r="AF80" s="1361">
        <f>IF(H80&gt;0,IF(K77=0,0,ROUNDDOWN((E80*H80)-O80,0)),0)</f>
        <v>0</v>
      </c>
      <c r="AG80" s="4"/>
      <c r="AI80" s="174"/>
      <c r="AJ80" s="174"/>
      <c r="AK80" s="174"/>
      <c r="AL80" s="174"/>
      <c r="AM80" s="174"/>
      <c r="AN80" s="174"/>
      <c r="AO80" s="328" t="s">
        <v>37</v>
      </c>
      <c r="AP80" s="326">
        <f>ROUNDDOWN(AR80/10,-2)</f>
        <v>0</v>
      </c>
      <c r="AQ80" s="329" t="s">
        <v>44</v>
      </c>
      <c r="AR80" s="330">
        <f>IF($AG$2&gt;0,0,IF($AH$13&gt;0,0,U80+U169+U258))</f>
        <v>0</v>
      </c>
      <c r="AS80" s="174"/>
      <c r="AT80" s="316" t="s">
        <v>37</v>
      </c>
      <c r="AU80" s="377">
        <f t="shared" si="54"/>
        <v>0</v>
      </c>
      <c r="AV80" s="317" t="s">
        <v>44</v>
      </c>
      <c r="AW80" s="315">
        <f>IF($AG$2&gt;0,"限度超過",AU76+AU77+AU78+AU79+AU80+AU81+AW76+AW77+AW78+AW79)</f>
        <v>0</v>
      </c>
      <c r="AX80" s="379"/>
      <c r="AY80" s="409" t="s">
        <v>37</v>
      </c>
      <c r="AZ80" s="313">
        <f t="shared" si="55"/>
        <v>0</v>
      </c>
      <c r="BA80" s="317" t="s">
        <v>44</v>
      </c>
      <c r="BB80" s="408">
        <f>AW80</f>
        <v>0</v>
      </c>
      <c r="BC80" s="379"/>
      <c r="BD80" s="451" t="s">
        <v>37</v>
      </c>
      <c r="BE80" s="81">
        <f t="shared" si="56"/>
        <v>0</v>
      </c>
      <c r="BF80" s="443" t="s">
        <v>44</v>
      </c>
      <c r="BG80" s="29">
        <f>IF($A$87=$L$87,"限度超過",BE76+BE77+BE78+BE79+BE80+BE81+BG76+BG77+BG78+BG79)</f>
        <v>0</v>
      </c>
      <c r="BH80" s="12"/>
      <c r="BI80" s="30" t="s">
        <v>37</v>
      </c>
      <c r="BJ80" s="29">
        <f t="shared" si="57"/>
        <v>0</v>
      </c>
      <c r="BK80" s="98" t="s">
        <v>44</v>
      </c>
      <c r="BL80" s="29">
        <f>IF($A$87=$L$87,"限度超過",BJ76+BJ77+BJ78+BJ79+BJ80+BJ81+BL76+BL77+BL78+BL79)</f>
        <v>0</v>
      </c>
      <c r="BM80" s="12"/>
      <c r="BN80" s="30" t="s">
        <v>37</v>
      </c>
      <c r="BO80" s="29">
        <f t="shared" si="58"/>
        <v>0</v>
      </c>
      <c r="BP80" s="98" t="s">
        <v>44</v>
      </c>
      <c r="BQ80" s="460">
        <f>IF($A$87=$L$87,"限度超過",BO76+BO77+BO78+BO79+BO80+BO81+BQ76+BQ77+BQ78+BQ79)</f>
        <v>0</v>
      </c>
      <c r="BR80" s="12"/>
      <c r="BS80" s="12"/>
      <c r="BT80" s="12"/>
      <c r="BU80" s="32" t="s">
        <v>136</v>
      </c>
      <c r="BV80" s="45">
        <f>K57</f>
        <v>0</v>
      </c>
      <c r="BW80" s="12"/>
      <c r="BX80" s="32" t="s">
        <v>26</v>
      </c>
      <c r="BY80" s="26">
        <f>H80</f>
        <v>0</v>
      </c>
      <c r="BZ80" s="99">
        <f t="shared" si="59"/>
        <v>0</v>
      </c>
      <c r="CA80" s="99">
        <f t="shared" si="59"/>
        <v>0</v>
      </c>
      <c r="CB80" s="99">
        <f t="shared" si="59"/>
        <v>0</v>
      </c>
      <c r="CC80" s="713">
        <f>CB80</f>
        <v>0</v>
      </c>
      <c r="CD80" s="4"/>
      <c r="CE80" s="4"/>
      <c r="CF80" s="4"/>
      <c r="CG80" s="4"/>
      <c r="CH80" s="4"/>
      <c r="CI80" s="13"/>
      <c r="CM80" s="294"/>
      <c r="CN80" s="301"/>
      <c r="CO80" s="301"/>
      <c r="CR80" s="56"/>
    </row>
    <row r="81" spans="1:96" ht="18" customHeight="1">
      <c r="A81" s="1421"/>
      <c r="B81" s="12"/>
      <c r="C81" s="12"/>
      <c r="D81" s="1419"/>
      <c r="E81" s="1416"/>
      <c r="F81" s="12"/>
      <c r="G81" s="855"/>
      <c r="H81" s="1413"/>
      <c r="I81" s="1277"/>
      <c r="J81" s="855"/>
      <c r="K81" s="180">
        <f>IF(H80&gt;0,K78,0)</f>
        <v>0</v>
      </c>
      <c r="L81" s="12" t="s">
        <v>5</v>
      </c>
      <c r="M81" s="1407"/>
      <c r="N81" s="1402"/>
      <c r="O81" s="1405"/>
      <c r="P81" s="1405"/>
      <c r="Q81" s="1377"/>
      <c r="R81" s="1403"/>
      <c r="S81" s="1381"/>
      <c r="T81" s="1388"/>
      <c r="U81" s="1387"/>
      <c r="V81" s="1389"/>
      <c r="W81" s="30" t="s">
        <v>38</v>
      </c>
      <c r="X81" s="29">
        <f t="shared" si="53"/>
        <v>0</v>
      </c>
      <c r="Y81" s="1368"/>
      <c r="Z81" s="1395"/>
      <c r="AA81" s="71"/>
      <c r="AB81" s="71"/>
      <c r="AC81" s="224"/>
      <c r="AD81" s="71"/>
      <c r="AE81" s="71"/>
      <c r="AF81" s="1360"/>
      <c r="AG81" s="71"/>
      <c r="AH81" s="71"/>
      <c r="AI81" s="170"/>
      <c r="AJ81" s="170"/>
      <c r="AK81" s="170"/>
      <c r="AL81" s="170"/>
      <c r="AM81" s="170"/>
      <c r="AN81" s="174"/>
      <c r="AO81" s="328" t="s">
        <v>38</v>
      </c>
      <c r="AP81" s="326">
        <f>ROUNDDOWN(AR80/10,-2)</f>
        <v>0</v>
      </c>
      <c r="AQ81" s="327"/>
      <c r="AR81" s="331"/>
      <c r="AS81" s="170"/>
      <c r="AT81" s="316" t="s">
        <v>38</v>
      </c>
      <c r="AU81" s="377">
        <f t="shared" si="54"/>
        <v>0</v>
      </c>
      <c r="AV81" s="314" t="s">
        <v>75</v>
      </c>
      <c r="AW81" s="332">
        <f>IF($AG$2&gt;0,"限度超過",U80)</f>
        <v>0</v>
      </c>
      <c r="AX81" s="379"/>
      <c r="AY81" s="413" t="s">
        <v>38</v>
      </c>
      <c r="AZ81" s="414">
        <f t="shared" si="55"/>
        <v>0</v>
      </c>
      <c r="BA81" s="415"/>
      <c r="BB81" s="416"/>
      <c r="BC81" s="379"/>
      <c r="BD81" s="451" t="s">
        <v>38</v>
      </c>
      <c r="BE81" s="81">
        <f t="shared" si="56"/>
        <v>0</v>
      </c>
      <c r="BF81" s="82"/>
      <c r="BG81" s="100"/>
      <c r="BH81" s="12"/>
      <c r="BI81" s="30" t="s">
        <v>38</v>
      </c>
      <c r="BJ81" s="29">
        <f t="shared" si="57"/>
        <v>0</v>
      </c>
      <c r="BK81" s="30"/>
      <c r="BL81" s="100"/>
      <c r="BM81" s="12"/>
      <c r="BN81" s="30" t="s">
        <v>38</v>
      </c>
      <c r="BO81" s="29">
        <f t="shared" si="58"/>
        <v>0</v>
      </c>
      <c r="BP81" s="30"/>
      <c r="BQ81" s="461"/>
      <c r="BR81" s="12"/>
      <c r="BS81" s="12"/>
      <c r="BT81" s="12"/>
      <c r="BU81" s="32" t="s">
        <v>137</v>
      </c>
      <c r="BV81" s="45">
        <f>K67</f>
        <v>0</v>
      </c>
      <c r="BW81" s="12"/>
      <c r="BX81" s="67" t="s">
        <v>27</v>
      </c>
      <c r="BY81" s="45">
        <f>IF(BY80&gt;0,ROUNDDOWN(BY77*BY80*BY78/BY79,0),0)</f>
        <v>0</v>
      </c>
      <c r="BZ81" s="45">
        <f>IF(BZ80&gt;0,ROUNDDOWN(BZ77*BZ80*BZ78/BZ79,0),0)</f>
        <v>0</v>
      </c>
      <c r="CA81" s="45">
        <f>IF(CA80&gt;0,ROUNDDOWN(CA77*CA80*CA78/CA79,0),0)</f>
        <v>0</v>
      </c>
      <c r="CB81" s="45">
        <f>IF(CB80&gt;0,ROUNDDOWN(CB77*CB80*CB78/CB79,0),0)</f>
        <v>0</v>
      </c>
      <c r="CC81" s="713">
        <v>0</v>
      </c>
      <c r="CD81" s="4"/>
      <c r="CE81" s="4"/>
      <c r="CF81" s="4"/>
      <c r="CG81" s="4"/>
      <c r="CH81" s="4"/>
      <c r="CI81" s="13"/>
      <c r="CM81" s="294"/>
      <c r="CN81" s="301"/>
      <c r="CO81" s="301"/>
      <c r="CR81" s="56"/>
    </row>
    <row r="82" spans="1:96" ht="18" customHeight="1">
      <c r="A82" s="202"/>
      <c r="B82" s="75" t="s">
        <v>118</v>
      </c>
      <c r="C82" s="12"/>
      <c r="D82" s="160"/>
      <c r="E82" s="161"/>
      <c r="F82" s="12"/>
      <c r="G82" s="50"/>
      <c r="H82" s="162"/>
      <c r="I82" s="159"/>
      <c r="J82" s="50"/>
      <c r="K82" s="180"/>
      <c r="L82" s="12"/>
      <c r="M82" s="86"/>
      <c r="N82" s="86"/>
      <c r="O82" s="181"/>
      <c r="P82" s="181"/>
      <c r="Q82" s="156"/>
      <c r="R82" s="157"/>
      <c r="S82" s="49"/>
      <c r="T82" s="50"/>
      <c r="U82" s="182"/>
      <c r="V82" s="50"/>
      <c r="W82" s="4"/>
      <c r="X82" s="26"/>
      <c r="Y82" s="170"/>
      <c r="Z82" s="187"/>
      <c r="AA82" s="73"/>
      <c r="AB82" s="73"/>
      <c r="AC82" s="225"/>
      <c r="AD82" s="73"/>
      <c r="AE82" s="73"/>
      <c r="AF82" s="236"/>
      <c r="AG82" s="73"/>
      <c r="AH82" s="191"/>
      <c r="AI82" s="175"/>
      <c r="AJ82" s="175"/>
      <c r="AK82" s="175"/>
      <c r="AL82" s="175"/>
      <c r="AM82" s="175"/>
      <c r="AN82" s="175"/>
      <c r="AO82" s="486"/>
      <c r="AP82" s="486"/>
      <c r="AQ82" s="487"/>
      <c r="AR82" s="487"/>
      <c r="AS82" s="175"/>
      <c r="AT82" s="381"/>
      <c r="AU82" s="472">
        <f>IF($AG$2&gt;0,"限度超過",0)</f>
        <v>0</v>
      </c>
      <c r="AV82" s="380"/>
      <c r="AW82" s="382" t="str">
        <f>IF(AW80=AW81,"OK","エラー")</f>
        <v>OK</v>
      </c>
      <c r="AX82" s="379"/>
      <c r="AY82" s="318"/>
      <c r="AZ82" s="318"/>
      <c r="BA82" s="319"/>
      <c r="BB82" s="319"/>
      <c r="BC82" s="379"/>
      <c r="BD82" s="452"/>
      <c r="BH82" s="12"/>
      <c r="BM82" s="12"/>
      <c r="BQ82" s="462"/>
      <c r="BR82" s="12"/>
      <c r="BS82" s="12"/>
      <c r="BT82" s="12"/>
      <c r="BU82" s="32" t="s">
        <v>138</v>
      </c>
      <c r="BV82" s="45">
        <f>K77</f>
        <v>0</v>
      </c>
      <c r="BW82" s="12"/>
      <c r="BX82" s="32" t="s">
        <v>468</v>
      </c>
      <c r="BY82" s="713">
        <f>IF(入力画面!E42=1,1,0)</f>
        <v>1</v>
      </c>
      <c r="BZ82" s="713" t="e">
        <f>IF($BY$82=1,ROUNDDOWN(CF12*BZ78/BZ79,0),0)</f>
        <v>#DIV/0!</v>
      </c>
      <c r="CA82" s="713" t="e">
        <f>IF($BY$82=1,ROUNDDOWN(CG12*CA78/CA79,0),0)</f>
        <v>#DIV/0!</v>
      </c>
      <c r="CB82" s="713" t="e">
        <f>IF($BY$82=1,ROUNDDOWN(CH12*CB78/CB79,0),0)</f>
        <v>#DIV/0!</v>
      </c>
      <c r="CC82" s="713" t="e">
        <f>IF($BY$82=1,ROUNDDOWN(CE12*CC78/CC79,0),0)</f>
        <v>#DIV/0!</v>
      </c>
      <c r="CD82" s="4"/>
      <c r="CE82" s="4"/>
      <c r="CF82" s="4"/>
      <c r="CG82" s="4"/>
      <c r="CH82" s="4"/>
      <c r="CI82" s="13"/>
      <c r="CM82" s="294"/>
      <c r="CN82" s="301"/>
      <c r="CO82" s="310"/>
      <c r="CR82" s="56"/>
    </row>
    <row r="83" spans="1:96" ht="18" customHeight="1" thickBot="1">
      <c r="A83" s="58" t="s">
        <v>1</v>
      </c>
      <c r="B83" s="52"/>
      <c r="C83" s="189">
        <f>IF(H80&gt;0,$X$13,0)</f>
        <v>0</v>
      </c>
      <c r="D83" s="203" t="s">
        <v>6</v>
      </c>
      <c r="E83" s="60" t="s">
        <v>131</v>
      </c>
      <c r="F83" s="1204">
        <f>K77</f>
        <v>0</v>
      </c>
      <c r="G83" s="1204"/>
      <c r="H83" s="216" t="s">
        <v>5</v>
      </c>
      <c r="I83" s="1451" t="s">
        <v>14</v>
      </c>
      <c r="J83" s="1451"/>
      <c r="K83" s="1204">
        <f>C83*F83</f>
        <v>0</v>
      </c>
      <c r="L83" s="1204"/>
      <c r="M83" s="204" t="s">
        <v>6</v>
      </c>
      <c r="N83" s="204"/>
      <c r="O83" s="205"/>
      <c r="P83" s="205"/>
      <c r="Q83" s="63"/>
      <c r="R83" s="206"/>
      <c r="S83" s="59"/>
      <c r="T83" s="27"/>
      <c r="U83" s="207"/>
      <c r="V83" s="27"/>
      <c r="W83" s="188"/>
      <c r="X83" s="189"/>
      <c r="Y83" s="208"/>
      <c r="Z83" s="163"/>
      <c r="AA83" s="26"/>
      <c r="AB83" s="26"/>
      <c r="AC83" s="494"/>
      <c r="AD83" s="26"/>
      <c r="AE83" s="489"/>
      <c r="AF83" s="237"/>
      <c r="AG83" s="26"/>
      <c r="AH83" s="26"/>
      <c r="AI83" s="173"/>
      <c r="AJ83" s="173"/>
      <c r="AK83" s="173"/>
      <c r="AL83" s="173"/>
      <c r="AM83" s="173"/>
      <c r="AN83" s="173"/>
      <c r="AO83" s="4"/>
      <c r="AP83" s="4"/>
      <c r="AQ83" s="193"/>
      <c r="AR83" s="193"/>
      <c r="AS83" s="173"/>
      <c r="AT83" s="173"/>
      <c r="AU83" s="173"/>
      <c r="AV83" s="173"/>
      <c r="AW83" s="173"/>
      <c r="AX83" s="12"/>
      <c r="BC83" s="12"/>
      <c r="BD83" s="454"/>
      <c r="BE83" s="455"/>
      <c r="BF83" s="455"/>
      <c r="BG83" s="455"/>
      <c r="BH83" s="456"/>
      <c r="BI83" s="455"/>
      <c r="BJ83" s="455"/>
      <c r="BK83" s="455"/>
      <c r="BL83" s="455"/>
      <c r="BM83" s="456"/>
      <c r="BN83" s="455"/>
      <c r="BO83" s="455"/>
      <c r="BP83" s="455"/>
      <c r="BQ83" s="464"/>
      <c r="BR83" s="12"/>
      <c r="BS83" s="12"/>
      <c r="BT83" s="12"/>
      <c r="BU83" s="168" t="s">
        <v>108</v>
      </c>
      <c r="BV83" s="213">
        <f>MAX(BV76:BV82)</f>
        <v>12</v>
      </c>
      <c r="BW83" s="12"/>
      <c r="BX83" s="4"/>
      <c r="BY83" s="4"/>
      <c r="BZ83" s="4"/>
      <c r="CA83" s="4"/>
      <c r="CB83" s="4"/>
      <c r="CC83" s="4"/>
      <c r="CD83" s="4"/>
      <c r="CE83" s="4"/>
      <c r="CF83" s="4"/>
      <c r="CG83" s="4"/>
      <c r="CH83" s="4"/>
      <c r="CI83" s="13"/>
      <c r="CM83" s="294"/>
      <c r="CN83" s="301"/>
      <c r="CO83" s="300"/>
      <c r="CR83" s="56"/>
    </row>
    <row r="84" spans="1:96" ht="7.5" customHeight="1" thickTop="1">
      <c r="A84" s="49"/>
      <c r="B84" s="12"/>
      <c r="C84" s="12"/>
      <c r="D84" s="160"/>
      <c r="E84" s="161"/>
      <c r="F84" s="12"/>
      <c r="G84" s="50"/>
      <c r="H84" s="162"/>
      <c r="I84" s="159"/>
      <c r="J84" s="50"/>
      <c r="K84" s="180"/>
      <c r="L84" s="12"/>
      <c r="M84" s="86"/>
      <c r="N84" s="86"/>
      <c r="O84" s="181"/>
      <c r="P84" s="181"/>
      <c r="Q84" s="156"/>
      <c r="R84" s="157"/>
      <c r="S84" s="49"/>
      <c r="T84" s="50"/>
      <c r="U84" s="190"/>
      <c r="V84" s="50"/>
      <c r="W84" s="4"/>
      <c r="X84" s="26"/>
      <c r="Y84" s="170"/>
      <c r="Z84" s="157"/>
      <c r="AA84" s="26"/>
      <c r="AB84" s="26"/>
      <c r="AC84" s="494"/>
      <c r="AD84" s="26"/>
      <c r="AE84" s="489"/>
      <c r="AF84" s="242"/>
      <c r="AG84" s="26"/>
      <c r="AH84" s="26"/>
      <c r="AI84" s="173"/>
      <c r="AJ84" s="173"/>
      <c r="AK84" s="173"/>
      <c r="AL84" s="173"/>
      <c r="AM84" s="173"/>
      <c r="AN84" s="173"/>
      <c r="AO84" s="173"/>
      <c r="AP84" s="173"/>
      <c r="AQ84" s="173"/>
      <c r="AR84" s="173"/>
      <c r="AS84" s="173"/>
      <c r="AT84" s="173"/>
      <c r="AU84" s="173"/>
      <c r="AV84" s="173"/>
      <c r="AW84" s="173"/>
      <c r="AX84" s="12"/>
      <c r="BC84" s="12"/>
      <c r="BH84" s="12"/>
      <c r="BM84" s="12"/>
      <c r="BR84" s="12"/>
      <c r="BS84" s="12"/>
      <c r="BT84" s="12"/>
      <c r="BU84" s="12"/>
      <c r="BV84" s="12"/>
      <c r="BW84" s="12"/>
      <c r="BX84" s="4"/>
      <c r="BY84" s="4"/>
      <c r="BZ84" s="4"/>
      <c r="CA84" s="4"/>
      <c r="CB84" s="4"/>
      <c r="CC84" s="4"/>
      <c r="CD84" s="4"/>
      <c r="CE84" s="4"/>
      <c r="CF84" s="4"/>
      <c r="CG84" s="4"/>
      <c r="CH84" s="4"/>
      <c r="CI84" s="13"/>
      <c r="CM84" s="294"/>
      <c r="CN84" s="294"/>
      <c r="CO84" s="294"/>
      <c r="CR84" s="56"/>
    </row>
    <row r="85" spans="1:96" ht="7.5" customHeight="1">
      <c r="D85" s="101"/>
      <c r="E85" s="70"/>
      <c r="G85" s="9"/>
      <c r="H85" s="102"/>
      <c r="I85" s="107"/>
      <c r="J85" s="9"/>
      <c r="K85" s="108"/>
      <c r="Q85" s="70"/>
      <c r="R85" s="69"/>
      <c r="S85" s="68"/>
      <c r="T85" s="68"/>
      <c r="U85" s="68"/>
      <c r="AA85" s="26"/>
      <c r="AB85" s="26"/>
      <c r="AC85" s="494"/>
      <c r="AD85" s="26"/>
      <c r="AE85" s="489"/>
      <c r="AF85" s="26"/>
      <c r="AG85" s="26"/>
      <c r="AH85" s="26"/>
      <c r="AI85" s="173"/>
      <c r="AJ85" s="173"/>
      <c r="AK85" s="173"/>
      <c r="AL85" s="173"/>
      <c r="AM85" s="173"/>
      <c r="AN85" s="173"/>
      <c r="AO85" s="173"/>
      <c r="AP85" s="173"/>
      <c r="AQ85" s="173"/>
      <c r="AR85" s="173"/>
      <c r="AS85" s="173"/>
      <c r="AT85" s="173"/>
      <c r="AU85" s="173"/>
      <c r="AV85" s="173"/>
      <c r="AW85" s="173"/>
      <c r="AX85" s="12"/>
      <c r="BC85" s="12"/>
      <c r="BH85" s="12"/>
      <c r="BM85" s="12"/>
      <c r="BR85" s="12"/>
      <c r="BS85" s="12"/>
      <c r="BT85" s="12"/>
      <c r="BU85" s="12"/>
      <c r="BV85" s="12"/>
      <c r="BW85" s="12"/>
      <c r="BX85" s="4"/>
      <c r="BY85" s="4"/>
      <c r="BZ85" s="4"/>
      <c r="CA85" s="4"/>
      <c r="CB85" s="4"/>
      <c r="CC85" s="4"/>
      <c r="CD85" s="4"/>
      <c r="CE85" s="4"/>
      <c r="CF85" s="4"/>
      <c r="CG85" s="4"/>
      <c r="CH85" s="4"/>
      <c r="CI85" s="13"/>
      <c r="CR85" s="56"/>
    </row>
    <row r="86" spans="1:96" ht="7.5" customHeight="1" thickBot="1">
      <c r="D86" s="101"/>
      <c r="E86" s="70"/>
      <c r="G86" s="9"/>
      <c r="H86" s="102"/>
      <c r="I86" s="107"/>
      <c r="J86" s="9"/>
      <c r="K86" s="108"/>
      <c r="Q86" s="70"/>
      <c r="R86" s="69"/>
      <c r="S86" s="68"/>
      <c r="T86" s="68"/>
      <c r="U86" s="68"/>
      <c r="AA86" s="26"/>
      <c r="AB86" s="26"/>
      <c r="AC86" s="494"/>
      <c r="AD86" s="26"/>
      <c r="AE86" s="489"/>
      <c r="AF86" s="26"/>
      <c r="AG86" s="26"/>
      <c r="AH86" s="26"/>
      <c r="AI86" s="173"/>
      <c r="AJ86" s="173"/>
      <c r="AK86" s="173"/>
      <c r="AL86" s="173"/>
      <c r="AM86" s="173"/>
      <c r="AN86" s="173"/>
      <c r="AO86" s="173"/>
      <c r="AP86" s="173"/>
      <c r="AQ86" s="173"/>
      <c r="AR86" s="173"/>
      <c r="AS86" s="173"/>
      <c r="AT86" s="173"/>
      <c r="AU86" s="173"/>
      <c r="AV86" s="173"/>
      <c r="AW86" s="173"/>
      <c r="AX86" s="12"/>
      <c r="BC86" s="12"/>
      <c r="BH86" s="12"/>
      <c r="BM86" s="12"/>
      <c r="BR86" s="12"/>
      <c r="BS86" s="12"/>
      <c r="BT86" s="12"/>
      <c r="BU86" s="12"/>
      <c r="BV86" s="12"/>
      <c r="BW86" s="12"/>
      <c r="BX86" s="4"/>
      <c r="BY86" s="4"/>
      <c r="BZ86" s="4"/>
      <c r="CA86" s="4"/>
      <c r="CB86" s="4"/>
      <c r="CC86" s="4"/>
      <c r="CD86" s="4"/>
      <c r="CE86" s="4"/>
      <c r="CF86" s="4"/>
      <c r="CG86" s="4"/>
      <c r="CH86" s="4"/>
      <c r="CI86" s="13"/>
      <c r="CR86" s="56"/>
    </row>
    <row r="87" spans="1:96" ht="31.5" customHeight="1" thickTop="1" thickBot="1">
      <c r="A87" s="1460">
        <f>CE10</f>
        <v>660000</v>
      </c>
      <c r="B87" s="1460"/>
      <c r="C87" s="1460"/>
      <c r="D87" s="1460"/>
      <c r="F87" s="109"/>
      <c r="G87" s="109"/>
      <c r="H87" s="1461" t="s">
        <v>12</v>
      </c>
      <c r="I87" s="1462"/>
      <c r="J87" s="1462"/>
      <c r="K87" s="1462"/>
      <c r="L87" s="1401">
        <f>IF(ROUNDDOWN(R17+R20+K23+R27+R30+K33+R37+R40+K43+R47+R50+K53+R57+R60+K63+R67+R70+K73+R77+R80+K83,-2)&gt;A87,A87,ROUNDDOWN(R17+R20+K23+R27+R30+K33+R37+R40+K43+R47+R50+K53+R57+R60+K63+R67+R70+K73+R77+R80+K83,-2))</f>
        <v>12000</v>
      </c>
      <c r="M87" s="1401"/>
      <c r="N87" s="1401"/>
      <c r="O87" s="1401"/>
      <c r="P87" s="1401"/>
      <c r="Q87" s="1401"/>
      <c r="R87" s="1401"/>
      <c r="S87" s="110" t="s">
        <v>6</v>
      </c>
      <c r="T87" s="49"/>
      <c r="U87" s="111"/>
      <c r="AA87" s="26"/>
      <c r="AB87" s="26"/>
      <c r="AC87" s="494"/>
      <c r="AD87" s="26"/>
      <c r="AE87" s="489"/>
      <c r="AF87" s="26"/>
      <c r="AG87" s="26"/>
      <c r="AH87" s="26"/>
      <c r="AI87" s="173"/>
      <c r="AJ87" s="173"/>
      <c r="AK87" s="173"/>
      <c r="AL87" s="173"/>
      <c r="AM87" s="173"/>
      <c r="AN87" s="173"/>
      <c r="AO87" s="173"/>
      <c r="AP87" s="173"/>
      <c r="AQ87" s="173"/>
      <c r="AR87" s="173"/>
      <c r="AS87" s="173"/>
      <c r="AT87" s="173"/>
      <c r="AU87" s="173"/>
      <c r="AV87" s="173"/>
      <c r="AW87" s="173"/>
      <c r="AX87" s="12"/>
      <c r="AY87" s="12"/>
      <c r="AZ87" s="1277"/>
      <c r="BA87" s="1277"/>
      <c r="BB87" s="1277"/>
      <c r="BC87" s="12"/>
      <c r="BD87" s="12"/>
      <c r="BE87" s="1277"/>
      <c r="BF87" s="1277"/>
      <c r="BG87" s="1277"/>
      <c r="BH87" s="12"/>
      <c r="BI87" s="12"/>
      <c r="BJ87" s="1277"/>
      <c r="BK87" s="1277"/>
      <c r="BL87" s="1277"/>
      <c r="BM87" s="12"/>
      <c r="BN87" s="12"/>
      <c r="BO87" s="1277"/>
      <c r="BP87" s="1277"/>
      <c r="BQ87" s="1277"/>
      <c r="BR87" s="12"/>
      <c r="BS87" s="12"/>
      <c r="BT87" s="12"/>
      <c r="BU87" s="12"/>
      <c r="BV87" s="12"/>
      <c r="BW87" s="12"/>
      <c r="BX87" s="4"/>
      <c r="BY87" s="4"/>
      <c r="BZ87" s="4"/>
      <c r="CA87" s="4"/>
      <c r="CB87" s="4"/>
      <c r="CC87" s="4"/>
      <c r="CD87" s="4"/>
      <c r="CE87" s="4"/>
      <c r="CF87" s="4"/>
      <c r="CG87" s="4"/>
      <c r="CH87" s="4"/>
      <c r="CI87" s="13"/>
      <c r="CR87" s="56"/>
    </row>
    <row r="88" spans="1:96" ht="16.5" customHeight="1" thickTop="1">
      <c r="K88" s="1468"/>
      <c r="L88" s="1468"/>
      <c r="M88" s="1468"/>
      <c r="N88" s="1468"/>
      <c r="O88" s="1468"/>
      <c r="P88" s="1468"/>
      <c r="Q88" s="1468"/>
      <c r="R88" s="112" t="s">
        <v>13</v>
      </c>
      <c r="AA88" s="4"/>
      <c r="AB88" s="4"/>
      <c r="AC88" s="492"/>
      <c r="AD88" s="4"/>
      <c r="AE88" s="74"/>
      <c r="AF88" s="4"/>
      <c r="AG88" s="4"/>
      <c r="AH88" s="4"/>
      <c r="AI88" s="174"/>
      <c r="AJ88" s="174"/>
      <c r="AK88" s="174"/>
      <c r="AL88" s="174"/>
      <c r="AM88" s="174"/>
      <c r="AN88" s="174"/>
      <c r="AO88" s="174"/>
      <c r="AP88" s="174"/>
      <c r="AQ88" s="174"/>
      <c r="AR88" s="174"/>
      <c r="AS88" s="174"/>
      <c r="AT88" s="174"/>
      <c r="AU88" s="174"/>
      <c r="AV88" s="174"/>
      <c r="AW88" s="174"/>
      <c r="AX88" s="12"/>
      <c r="BC88" s="12"/>
      <c r="BH88" s="12"/>
      <c r="BM88" s="12"/>
      <c r="BR88" s="12"/>
      <c r="BS88" s="12"/>
      <c r="BT88" s="12"/>
      <c r="BU88" s="12"/>
      <c r="BV88" s="12"/>
      <c r="BW88" s="12"/>
      <c r="BX88" s="4"/>
      <c r="BY88" s="4"/>
      <c r="BZ88" s="4"/>
      <c r="CA88" s="4"/>
      <c r="CB88" s="4"/>
      <c r="CC88" s="4"/>
      <c r="CD88" s="4"/>
      <c r="CE88" s="4"/>
      <c r="CF88" s="4"/>
      <c r="CG88" s="4"/>
      <c r="CH88" s="4"/>
      <c r="CI88" s="13"/>
      <c r="CJ88" s="56"/>
      <c r="CK88" s="12"/>
      <c r="CL88" s="50"/>
      <c r="CM88" s="12"/>
      <c r="CN88" s="12"/>
      <c r="CO88" s="12"/>
      <c r="CP88" s="12"/>
      <c r="CQ88" s="12"/>
      <c r="CR88" s="56"/>
    </row>
    <row r="89" spans="1:96" ht="9" customHeight="1" thickBot="1">
      <c r="B89" s="113"/>
      <c r="C89" s="113"/>
      <c r="D89" s="113"/>
      <c r="K89" s="70"/>
      <c r="L89" s="70"/>
      <c r="M89" s="70"/>
      <c r="N89" s="114"/>
      <c r="O89" s="114"/>
      <c r="P89" s="70"/>
      <c r="Q89" s="70"/>
      <c r="R89" s="112"/>
      <c r="AB89" s="4"/>
      <c r="AC89" s="495"/>
      <c r="AD89" s="121"/>
      <c r="AE89" s="491"/>
      <c r="AF89" s="121"/>
      <c r="AG89" s="121"/>
      <c r="AH89" s="121"/>
      <c r="AI89" s="228"/>
      <c r="AJ89" s="228"/>
      <c r="AK89" s="228"/>
      <c r="AL89" s="228"/>
      <c r="AM89" s="228"/>
      <c r="AN89" s="228"/>
      <c r="AO89" s="228"/>
      <c r="AP89" s="228"/>
      <c r="AQ89" s="228"/>
      <c r="AR89" s="228"/>
      <c r="AS89" s="228"/>
      <c r="AT89" s="228"/>
      <c r="AU89" s="228"/>
      <c r="AV89" s="228"/>
      <c r="AW89" s="228"/>
      <c r="AX89" s="228"/>
      <c r="AY89" s="228"/>
      <c r="AZ89" s="228"/>
      <c r="BA89" s="228"/>
      <c r="BB89" s="228"/>
      <c r="BC89" s="228"/>
      <c r="BD89" s="228"/>
      <c r="BE89" s="228"/>
      <c r="BF89" s="228"/>
      <c r="BG89" s="228"/>
      <c r="BH89" s="228"/>
      <c r="BI89" s="228"/>
      <c r="BJ89" s="228"/>
      <c r="BK89" s="228"/>
      <c r="BL89" s="228"/>
      <c r="BM89" s="228"/>
      <c r="BN89" s="228"/>
      <c r="BO89" s="228"/>
      <c r="BP89" s="228"/>
      <c r="BQ89" s="228"/>
      <c r="BR89" s="228"/>
      <c r="BS89" s="12"/>
      <c r="BT89" s="12"/>
      <c r="BU89" s="12"/>
      <c r="BV89" s="12"/>
      <c r="BW89" s="12"/>
      <c r="BX89" s="4"/>
      <c r="BY89" s="4"/>
      <c r="BZ89" s="4"/>
      <c r="CA89" s="4"/>
      <c r="CB89" s="4"/>
      <c r="CC89" s="4"/>
      <c r="CD89" s="4"/>
      <c r="CE89" s="4"/>
      <c r="CF89" s="4"/>
      <c r="CG89" s="4"/>
      <c r="CH89" s="4"/>
      <c r="CI89" s="13"/>
      <c r="CJ89" s="120"/>
      <c r="CK89" s="122"/>
      <c r="CL89" s="251"/>
      <c r="CM89" s="122"/>
      <c r="CN89" s="122"/>
      <c r="CO89" s="122"/>
      <c r="CP89" s="122"/>
      <c r="CQ89" s="122"/>
      <c r="CR89" s="56"/>
    </row>
    <row r="90" spans="1:96" ht="31.5" customHeight="1">
      <c r="A90" s="1428">
        <f>A1</f>
        <v>0</v>
      </c>
      <c r="B90" s="1428"/>
      <c r="C90" s="1428"/>
      <c r="D90" s="1428"/>
      <c r="E90" s="1428"/>
      <c r="F90" s="1428"/>
      <c r="G90" s="1428"/>
      <c r="H90" s="1428"/>
      <c r="I90" s="1428"/>
      <c r="J90" s="1428"/>
      <c r="K90" s="1428"/>
      <c r="L90" s="1428"/>
      <c r="M90" s="1428"/>
      <c r="N90" s="1428"/>
      <c r="O90" s="1428"/>
      <c r="P90" s="1428"/>
      <c r="Q90" s="1428"/>
      <c r="R90" s="1428"/>
      <c r="S90" s="1428"/>
      <c r="T90" s="1428"/>
      <c r="U90" s="1428"/>
      <c r="V90" s="1428"/>
      <c r="W90" s="1428"/>
      <c r="X90" s="1438" t="s">
        <v>15</v>
      </c>
      <c r="Y90" s="1438"/>
      <c r="Z90" s="1438"/>
      <c r="AA90" s="5"/>
      <c r="AB90" s="159"/>
      <c r="AC90" s="226"/>
      <c r="AD90" s="159"/>
      <c r="AE90" s="159"/>
      <c r="AF90" s="159"/>
      <c r="AG90" s="159"/>
      <c r="AH90" s="227"/>
      <c r="AI90" s="201"/>
      <c r="AJ90" s="201"/>
      <c r="AK90" s="201"/>
      <c r="AL90" s="201"/>
      <c r="AM90" s="201"/>
      <c r="AN90" s="201"/>
      <c r="AO90" s="201"/>
      <c r="AP90" s="201"/>
      <c r="AQ90" s="201"/>
      <c r="AR90" s="201"/>
      <c r="AS90" s="201"/>
      <c r="AT90" s="201"/>
      <c r="AU90" s="201"/>
      <c r="AV90" s="201"/>
      <c r="AW90" s="201"/>
      <c r="AX90" s="12"/>
      <c r="AY90" s="267"/>
      <c r="AZ90" s="267"/>
      <c r="BA90" s="267"/>
      <c r="BB90" s="267"/>
      <c r="BC90" s="12"/>
      <c r="BD90" s="267"/>
      <c r="BE90" s="267"/>
      <c r="BF90" s="267"/>
      <c r="BG90" s="267"/>
      <c r="BH90" s="12"/>
      <c r="BI90" s="267"/>
      <c r="BJ90" s="267"/>
      <c r="BK90" s="267"/>
      <c r="BL90" s="267"/>
      <c r="BM90" s="12"/>
      <c r="BN90" s="267"/>
      <c r="BO90" s="267"/>
      <c r="BP90" s="267"/>
      <c r="BQ90" s="267"/>
      <c r="BR90" s="257"/>
      <c r="BS90" s="257"/>
      <c r="BT90" s="257"/>
      <c r="BU90" s="257"/>
      <c r="BV90" s="257"/>
      <c r="BW90" s="6"/>
      <c r="BX90" s="7"/>
      <c r="BY90" s="7"/>
      <c r="BZ90" s="7"/>
      <c r="CA90" s="7"/>
      <c r="CB90" s="7"/>
      <c r="CC90" s="7"/>
      <c r="CD90" s="7"/>
      <c r="CE90" s="7"/>
      <c r="CF90" s="7"/>
      <c r="CG90" s="7"/>
      <c r="CH90" s="7"/>
      <c r="CI90" s="8"/>
    </row>
    <row r="91" spans="1:96" ht="31.5" customHeight="1">
      <c r="A91" s="1429" t="s">
        <v>48</v>
      </c>
      <c r="B91" s="1429"/>
      <c r="C91" s="1429"/>
      <c r="D91" s="1417">
        <f>D2</f>
        <v>0</v>
      </c>
      <c r="E91" s="1417"/>
      <c r="F91" s="1417"/>
      <c r="G91" s="3" t="s">
        <v>22</v>
      </c>
      <c r="U91" s="11"/>
      <c r="V91" s="11"/>
      <c r="AB91" s="4"/>
      <c r="AC91" s="492"/>
      <c r="AD91" s="4"/>
      <c r="AE91" s="74"/>
      <c r="AF91" s="4"/>
      <c r="AG91" s="269"/>
      <c r="AH91" s="4"/>
      <c r="AI91" s="174"/>
      <c r="AJ91" s="174"/>
      <c r="AK91" s="174"/>
      <c r="AL91" s="174"/>
      <c r="AM91" s="174"/>
      <c r="AN91" s="174"/>
      <c r="AO91" s="174"/>
      <c r="AP91" s="174"/>
      <c r="AQ91" s="174"/>
      <c r="AR91" s="174"/>
      <c r="AS91" s="174"/>
      <c r="AT91" s="174"/>
      <c r="AU91" s="174"/>
      <c r="AV91" s="174"/>
      <c r="AW91" s="174"/>
      <c r="AX91" s="258"/>
      <c r="AY91" s="258"/>
      <c r="AZ91" s="258"/>
      <c r="BA91" s="258"/>
      <c r="BB91" s="258"/>
      <c r="BC91" s="258"/>
      <c r="BD91" s="258"/>
      <c r="BE91" s="258"/>
      <c r="BF91" s="258"/>
      <c r="BG91" s="258"/>
      <c r="BH91" s="258"/>
      <c r="BI91" s="258"/>
      <c r="BJ91" s="258"/>
      <c r="BK91" s="258"/>
      <c r="BL91" s="258"/>
      <c r="BM91" s="258"/>
      <c r="BN91" s="258"/>
      <c r="BO91" s="258"/>
      <c r="BP91" s="258"/>
      <c r="BQ91" s="258"/>
      <c r="BR91" s="258"/>
      <c r="BS91" s="258"/>
      <c r="BT91" s="258"/>
      <c r="BU91" s="258"/>
      <c r="BV91" s="258"/>
      <c r="BW91" s="12"/>
      <c r="BX91" s="4"/>
      <c r="BY91" s="4"/>
      <c r="BZ91" s="4"/>
      <c r="CA91" s="4"/>
      <c r="CB91" s="4"/>
      <c r="CC91" s="4"/>
      <c r="CD91" s="4"/>
      <c r="CE91" s="4"/>
      <c r="CF91" s="4"/>
      <c r="CG91" s="4"/>
      <c r="CH91" s="4"/>
      <c r="CI91" s="13"/>
    </row>
    <row r="92" spans="1:96" ht="16.5" customHeight="1">
      <c r="A92" s="1371" t="s">
        <v>160</v>
      </c>
      <c r="B92" s="1371"/>
      <c r="C92" s="1371"/>
      <c r="D92" s="14"/>
      <c r="E92" s="14"/>
      <c r="F92" s="14"/>
      <c r="G92" s="14"/>
      <c r="H92" s="14"/>
      <c r="I92" s="14"/>
      <c r="J92" s="14"/>
      <c r="K92" s="14"/>
      <c r="L92" s="14"/>
      <c r="M92" s="14"/>
      <c r="N92" s="14"/>
      <c r="O92" s="14"/>
      <c r="P92" s="14"/>
      <c r="Q92" s="14"/>
      <c r="R92" s="14"/>
      <c r="S92" s="14"/>
      <c r="T92" s="14"/>
      <c r="U92" s="14"/>
      <c r="V92" s="15"/>
      <c r="W92" s="1432" t="s">
        <v>165</v>
      </c>
      <c r="X92" s="1433"/>
      <c r="Y92" s="1433"/>
      <c r="Z92" s="1434"/>
      <c r="AA92" s="16"/>
      <c r="AB92" s="16"/>
      <c r="AC92" s="493"/>
      <c r="AD92" s="16"/>
      <c r="AE92" s="227"/>
      <c r="AF92" s="16"/>
      <c r="AG92" s="16"/>
      <c r="AH92" s="16"/>
      <c r="AI92" s="172"/>
      <c r="AJ92" s="172"/>
      <c r="AK92" s="172"/>
      <c r="AL92" s="172"/>
      <c r="AM92" s="172"/>
      <c r="AN92" s="172"/>
      <c r="AO92" s="172"/>
      <c r="AP92" s="172"/>
      <c r="AQ92" s="172"/>
      <c r="AR92" s="172"/>
      <c r="AS92" s="172"/>
      <c r="AT92" s="172"/>
      <c r="AU92" s="172"/>
      <c r="AV92" s="172"/>
      <c r="AW92" s="172"/>
      <c r="AX92" s="258"/>
      <c r="AY92" s="258"/>
      <c r="AZ92" s="258"/>
      <c r="BA92" s="258"/>
      <c r="BB92" s="258"/>
      <c r="BC92" s="258"/>
      <c r="BD92" s="258"/>
      <c r="BE92" s="258"/>
      <c r="BF92" s="258"/>
      <c r="BG92" s="258"/>
      <c r="BH92" s="258"/>
      <c r="BI92" s="258"/>
      <c r="BJ92" s="258"/>
      <c r="BK92" s="258"/>
      <c r="BL92" s="258"/>
      <c r="BM92" s="258"/>
      <c r="BN92" s="258"/>
      <c r="BO92" s="258"/>
      <c r="BP92" s="258"/>
      <c r="BQ92" s="258"/>
      <c r="BR92" s="258"/>
      <c r="BS92" s="258"/>
      <c r="BT92" s="258"/>
      <c r="BU92" s="258"/>
      <c r="BV92" s="258"/>
      <c r="BW92" s="12"/>
      <c r="BX92" s="4"/>
      <c r="BY92" s="4"/>
      <c r="BZ92" s="4"/>
      <c r="CA92" s="4"/>
      <c r="CB92" s="4"/>
      <c r="CC92" s="4"/>
      <c r="CD92" s="4"/>
      <c r="CE92" s="4"/>
      <c r="CF92" s="4"/>
      <c r="CG92" s="4"/>
      <c r="CH92" s="4"/>
      <c r="CI92" s="13"/>
    </row>
    <row r="93" spans="1:96" ht="16.5" customHeight="1">
      <c r="A93" s="1371"/>
      <c r="B93" s="1371"/>
      <c r="C93" s="1371"/>
      <c r="W93" s="1435"/>
      <c r="X93" s="1436"/>
      <c r="Y93" s="1436"/>
      <c r="Z93" s="1437"/>
      <c r="AA93" s="16"/>
      <c r="AB93" s="16"/>
      <c r="AC93" s="493"/>
      <c r="AD93" s="16"/>
      <c r="AE93" s="227"/>
      <c r="AF93" s="240" t="s">
        <v>18</v>
      </c>
      <c r="AG93" s="1444" t="s">
        <v>174</v>
      </c>
      <c r="AH93" s="16"/>
      <c r="AI93" s="172"/>
      <c r="AJ93" s="172"/>
      <c r="AK93" s="172"/>
      <c r="AL93" s="172"/>
      <c r="AM93" s="172"/>
      <c r="AN93" s="172"/>
      <c r="AO93" s="172"/>
      <c r="AP93" s="172"/>
      <c r="AQ93" s="172"/>
      <c r="AR93" s="172"/>
      <c r="AS93" s="172"/>
      <c r="AT93" s="172"/>
      <c r="AU93" s="172"/>
      <c r="AV93" s="172"/>
      <c r="AW93" s="172"/>
      <c r="AX93" s="200"/>
      <c r="AY93" s="200"/>
      <c r="AZ93" s="200"/>
      <c r="BA93" s="222"/>
      <c r="BB93" s="222"/>
      <c r="BC93" s="200"/>
      <c r="BD93" s="401"/>
      <c r="BE93" s="401"/>
      <c r="BF93" s="401"/>
      <c r="BG93" s="401"/>
      <c r="BH93" s="401"/>
      <c r="BI93" s="401"/>
      <c r="BJ93" s="401"/>
      <c r="BK93" s="401"/>
      <c r="BL93" s="401"/>
      <c r="BM93" s="401"/>
      <c r="BN93" s="401"/>
      <c r="BO93" s="401"/>
      <c r="BP93" s="401"/>
      <c r="BQ93" s="401"/>
      <c r="BR93" s="401"/>
      <c r="BS93" s="200"/>
      <c r="BT93" s="200"/>
      <c r="BU93" s="200"/>
      <c r="BV93" s="200"/>
      <c r="BW93" s="12"/>
      <c r="BX93" s="4"/>
      <c r="BY93" s="4"/>
      <c r="BZ93" s="4"/>
      <c r="CA93" s="4"/>
      <c r="CB93" s="4"/>
      <c r="CC93" s="4"/>
      <c r="CD93" s="4"/>
      <c r="CE93" s="4"/>
      <c r="CF93" s="4"/>
      <c r="CG93" s="4"/>
      <c r="CH93" s="4"/>
      <c r="CI93" s="13"/>
    </row>
    <row r="94" spans="1:96" ht="27.75" customHeight="1">
      <c r="D94" s="116">
        <f>D5</f>
        <v>7</v>
      </c>
      <c r="E94" s="1378" t="s">
        <v>23</v>
      </c>
      <c r="F94" s="1379"/>
      <c r="K94" s="18"/>
      <c r="R94" s="19" t="s">
        <v>28</v>
      </c>
      <c r="S94" s="20">
        <f>H109+H119+H129+H139+H149+H159+H169</f>
        <v>1</v>
      </c>
      <c r="T94" s="21" t="s">
        <v>4</v>
      </c>
      <c r="W94" s="22" t="s">
        <v>34</v>
      </c>
      <c r="X94" s="23">
        <f t="shared" ref="X94:X99" si="60">IF($CM$14=0,0,IF($AH$13&gt;0,0,CP48))</f>
        <v>433</v>
      </c>
      <c r="Y94" s="24" t="s">
        <v>39</v>
      </c>
      <c r="Z94" s="25">
        <f>IF($CM$14=0,0,IF($AH$13&gt;0,0,CP54))</f>
        <v>408</v>
      </c>
      <c r="AA94" s="26"/>
      <c r="AB94" s="26"/>
      <c r="AC94" s="505" t="s">
        <v>34</v>
      </c>
      <c r="AD94" s="509" t="str">
        <f t="shared" ref="AD94:AD99" si="61">AK111</f>
        <v>OK</v>
      </c>
      <c r="AE94" s="489"/>
      <c r="AF94" s="241">
        <f>CE99</f>
        <v>260000</v>
      </c>
      <c r="AG94" s="1445"/>
      <c r="AH94" s="26"/>
      <c r="AI94" s="270"/>
      <c r="AJ94" s="270"/>
      <c r="AK94" s="270"/>
      <c r="AL94" s="270"/>
      <c r="AM94" s="270"/>
      <c r="AN94" s="270"/>
      <c r="AO94" s="270"/>
      <c r="AP94" s="270"/>
      <c r="AQ94" s="270"/>
      <c r="AR94" s="270"/>
      <c r="AS94" s="270"/>
      <c r="AT94" s="270"/>
      <c r="AU94" s="270"/>
      <c r="AV94" s="270"/>
      <c r="AW94" s="270"/>
      <c r="AX94" s="200"/>
      <c r="AY94" s="200"/>
      <c r="AZ94" s="200"/>
      <c r="BA94" s="222"/>
      <c r="BB94" s="222"/>
      <c r="BC94" s="200"/>
      <c r="BD94" s="401"/>
      <c r="BE94" s="401"/>
      <c r="BF94" s="401"/>
      <c r="BG94" s="401"/>
      <c r="BH94" s="401"/>
      <c r="BI94" s="401"/>
      <c r="BJ94" s="401"/>
      <c r="BK94" s="401"/>
      <c r="BL94" s="401"/>
      <c r="BM94" s="401"/>
      <c r="BN94" s="401"/>
      <c r="BO94" s="401"/>
      <c r="BP94" s="401"/>
      <c r="BQ94" s="401"/>
      <c r="BR94" s="401"/>
      <c r="BS94" s="200"/>
      <c r="BT94" s="200"/>
      <c r="BU94" s="200"/>
      <c r="BV94" s="200"/>
      <c r="BW94" s="12"/>
      <c r="BX94" s="4"/>
      <c r="BY94" s="4"/>
      <c r="BZ94" s="4"/>
      <c r="CA94" s="4"/>
      <c r="CB94" s="4"/>
      <c r="CC94" s="4"/>
      <c r="CD94" s="1422" t="s">
        <v>162</v>
      </c>
      <c r="CE94" s="1422"/>
      <c r="CF94" s="1422"/>
      <c r="CG94" s="1422"/>
      <c r="CH94" s="1422"/>
      <c r="CI94" s="13"/>
    </row>
    <row r="95" spans="1:96" ht="27.75" customHeight="1">
      <c r="A95" s="1420">
        <f>'合計（印刷）'!B2</f>
        <v>0</v>
      </c>
      <c r="B95" s="1420"/>
      <c r="C95" s="1420"/>
      <c r="D95" s="1420"/>
      <c r="E95" s="1420"/>
      <c r="F95" s="1420"/>
      <c r="G95" s="1420"/>
      <c r="H95" s="1420"/>
      <c r="I95" s="1420"/>
      <c r="J95" s="1420"/>
      <c r="K95" s="1420"/>
      <c r="L95" s="1420"/>
      <c r="M95" s="1420"/>
      <c r="N95" s="1420"/>
      <c r="O95" s="1420"/>
      <c r="P95" s="1420"/>
      <c r="Q95" s="1420"/>
      <c r="R95" s="1420"/>
      <c r="S95" s="1420"/>
      <c r="T95" s="1420"/>
      <c r="U95" s="1420"/>
      <c r="W95" s="28" t="s">
        <v>35</v>
      </c>
      <c r="X95" s="29">
        <f t="shared" si="60"/>
        <v>407</v>
      </c>
      <c r="Y95" s="30" t="s">
        <v>40</v>
      </c>
      <c r="Z95" s="31">
        <f>IF($CM$14=0,0,IF($AH$13&gt;0,0,CP55))</f>
        <v>408</v>
      </c>
      <c r="AA95" s="26"/>
      <c r="AB95" s="26"/>
      <c r="AC95" s="506" t="s">
        <v>35</v>
      </c>
      <c r="AD95" s="510" t="str">
        <f t="shared" si="61"/>
        <v>OK</v>
      </c>
      <c r="AE95" s="489"/>
      <c r="AF95" s="239" t="s">
        <v>44</v>
      </c>
      <c r="AG95" s="1446">
        <f>IF(AF94&gt;=AF96,0,1)</f>
        <v>0</v>
      </c>
      <c r="AH95" s="26"/>
      <c r="AI95" s="174"/>
      <c r="AJ95" s="179"/>
      <c r="AK95" s="179"/>
      <c r="AL95" s="179"/>
      <c r="AM95" s="179"/>
      <c r="AN95" s="179"/>
      <c r="AO95" s="179"/>
      <c r="AP95" s="179"/>
      <c r="AQ95" s="179"/>
      <c r="AR95" s="179"/>
      <c r="AS95" s="179"/>
      <c r="AT95" s="179"/>
      <c r="AU95" s="179"/>
      <c r="AV95" s="179"/>
      <c r="AW95" s="179"/>
      <c r="AX95" s="200"/>
      <c r="AY95" s="143"/>
      <c r="AZ95" s="223"/>
      <c r="BA95" s="222"/>
      <c r="BB95" s="222"/>
      <c r="BC95" s="200"/>
      <c r="BD95" s="401"/>
      <c r="BE95" s="401"/>
      <c r="BF95" s="401"/>
      <c r="BG95" s="401"/>
      <c r="BH95" s="401"/>
      <c r="BI95" s="401"/>
      <c r="BJ95" s="401"/>
      <c r="BK95" s="401"/>
      <c r="BL95" s="401"/>
      <c r="BM95" s="401"/>
      <c r="BN95" s="401"/>
      <c r="BO95" s="401"/>
      <c r="BP95" s="401"/>
      <c r="BQ95" s="401"/>
      <c r="BR95" s="401"/>
      <c r="BS95" s="200"/>
      <c r="BT95" s="200"/>
      <c r="BU95" s="200"/>
      <c r="BV95" s="200"/>
      <c r="BW95" s="12"/>
      <c r="BX95" s="32"/>
      <c r="BY95" s="33" t="str">
        <f>BY105</f>
        <v>料率</v>
      </c>
      <c r="BZ95" s="33">
        <f>BZ105</f>
        <v>7</v>
      </c>
      <c r="CA95" s="33">
        <f>CA105</f>
        <v>5</v>
      </c>
      <c r="CB95" s="33">
        <f>CB105</f>
        <v>2</v>
      </c>
      <c r="CC95" s="4"/>
      <c r="CD95" s="34"/>
      <c r="CE95" s="35" t="s">
        <v>19</v>
      </c>
      <c r="CF95" s="36">
        <v>7</v>
      </c>
      <c r="CG95" s="36">
        <v>5</v>
      </c>
      <c r="CH95" s="36">
        <v>2</v>
      </c>
      <c r="CI95" s="13"/>
    </row>
    <row r="96" spans="1:96" ht="27.75" customHeight="1">
      <c r="A96" s="37"/>
      <c r="B96" s="38"/>
      <c r="C96" s="38"/>
      <c r="D96" s="38"/>
      <c r="E96" s="38"/>
      <c r="F96" s="38"/>
      <c r="G96" s="38"/>
      <c r="H96" s="39"/>
      <c r="I96" s="38"/>
      <c r="J96" s="38"/>
      <c r="K96" s="40" t="s">
        <v>9</v>
      </c>
      <c r="L96" s="38"/>
      <c r="M96" s="38"/>
      <c r="N96" s="41"/>
      <c r="O96" s="166"/>
      <c r="P96" s="167"/>
      <c r="Q96" s="38"/>
      <c r="R96" s="38"/>
      <c r="S96" s="38"/>
      <c r="T96" s="38"/>
      <c r="U96" s="38"/>
      <c r="V96" s="141"/>
      <c r="W96" s="28" t="s">
        <v>36</v>
      </c>
      <c r="X96" s="29">
        <f t="shared" si="60"/>
        <v>407</v>
      </c>
      <c r="Y96" s="30" t="s">
        <v>41</v>
      </c>
      <c r="Z96" s="31">
        <f>IF($CM$14=0,0,IF($AH$13&gt;0,0,CP56))</f>
        <v>408</v>
      </c>
      <c r="AA96" s="26"/>
      <c r="AB96" s="26"/>
      <c r="AC96" s="506" t="s">
        <v>36</v>
      </c>
      <c r="AD96" s="510" t="str">
        <f t="shared" si="61"/>
        <v>OK</v>
      </c>
      <c r="AE96" s="489"/>
      <c r="AF96" s="45">
        <f>AF99+AF105+AF115+AF125+AF135+AF145+AF155+AF165</f>
        <v>4190</v>
      </c>
      <c r="AG96" s="1447"/>
      <c r="AH96" s="26"/>
      <c r="AI96" s="174"/>
      <c r="AJ96" s="179"/>
      <c r="AK96" s="179"/>
      <c r="AL96" s="179"/>
      <c r="AM96" s="179"/>
      <c r="AN96" s="179"/>
      <c r="AO96" s="179"/>
      <c r="AP96" s="179"/>
      <c r="AQ96" s="179"/>
      <c r="AR96" s="179"/>
      <c r="AS96" s="179"/>
      <c r="AT96" s="179"/>
      <c r="AU96" s="179"/>
      <c r="AV96" s="179"/>
      <c r="AW96" s="179"/>
      <c r="AX96" s="200"/>
      <c r="AY96" s="143"/>
      <c r="AZ96" s="223"/>
      <c r="BA96" s="222"/>
      <c r="BB96" s="222"/>
      <c r="BC96" s="200"/>
      <c r="BD96" s="401"/>
      <c r="BE96" s="401"/>
      <c r="BF96" s="401"/>
      <c r="BG96" s="401"/>
      <c r="BH96" s="401"/>
      <c r="BI96" s="401"/>
      <c r="BJ96" s="401"/>
      <c r="BK96" s="401"/>
      <c r="BL96" s="401"/>
      <c r="BM96" s="401"/>
      <c r="BN96" s="401"/>
      <c r="BO96" s="401"/>
      <c r="BP96" s="401"/>
      <c r="BQ96" s="401"/>
      <c r="BR96" s="401"/>
      <c r="BS96" s="200"/>
      <c r="BT96" s="200"/>
      <c r="BU96" s="200"/>
      <c r="BV96" s="200"/>
      <c r="BW96" s="12"/>
      <c r="BX96" s="32" t="s">
        <v>1</v>
      </c>
      <c r="BY96" s="44">
        <v>0</v>
      </c>
      <c r="BZ96" s="45">
        <f>CF98</f>
        <v>6600</v>
      </c>
      <c r="CA96" s="45">
        <f>CG98</f>
        <v>4710</v>
      </c>
      <c r="CB96" s="45">
        <f>CH98</f>
        <v>1890</v>
      </c>
      <c r="CC96" s="4"/>
      <c r="CD96" s="46" t="s">
        <v>0</v>
      </c>
      <c r="CE96" s="47">
        <f>入力画面!E72</f>
        <v>3.02</v>
      </c>
      <c r="CF96" s="48"/>
      <c r="CG96" s="48"/>
      <c r="CH96" s="48"/>
      <c r="CI96" s="13"/>
    </row>
    <row r="97" spans="1:87" ht="27.75" customHeight="1">
      <c r="A97" s="1418" t="s">
        <v>1</v>
      </c>
      <c r="B97" s="1277"/>
      <c r="C97" s="855" t="s">
        <v>107</v>
      </c>
      <c r="D97" s="1419" t="s">
        <v>121</v>
      </c>
      <c r="E97" s="1376">
        <f>IF(S94&gt;0,CE98,0)</f>
        <v>9420</v>
      </c>
      <c r="F97" s="1376"/>
      <c r="G97" s="1376"/>
      <c r="H97" s="855" t="s">
        <v>109</v>
      </c>
      <c r="I97" s="12"/>
      <c r="J97" s="855" t="s">
        <v>59</v>
      </c>
      <c r="K97" s="51">
        <f>MAX(BV165:BV171)</f>
        <v>12</v>
      </c>
      <c r="L97" s="52" t="s">
        <v>5</v>
      </c>
      <c r="M97" s="1380" t="s">
        <v>122</v>
      </c>
      <c r="N97" s="1377" t="s">
        <v>14</v>
      </c>
      <c r="O97" s="1404">
        <f>E97*K97/K98</f>
        <v>9420</v>
      </c>
      <c r="P97" s="1404"/>
      <c r="Q97" s="1408" t="s">
        <v>6</v>
      </c>
      <c r="R97" s="1403"/>
      <c r="S97" s="1408"/>
      <c r="T97" s="49"/>
      <c r="U97" s="49"/>
      <c r="V97" s="53"/>
      <c r="W97" s="28" t="s">
        <v>43</v>
      </c>
      <c r="X97" s="29">
        <f t="shared" si="60"/>
        <v>407</v>
      </c>
      <c r="Y97" s="30" t="s">
        <v>42</v>
      </c>
      <c r="Z97" s="31">
        <f>IF($CM$14=0,0,IF($AH$13&gt;0,0,CP57))</f>
        <v>408</v>
      </c>
      <c r="AA97" s="26"/>
      <c r="AB97" s="26"/>
      <c r="AC97" s="506" t="s">
        <v>43</v>
      </c>
      <c r="AD97" s="510" t="str">
        <f t="shared" si="61"/>
        <v>OK</v>
      </c>
      <c r="AE97" s="497">
        <f>IF(AG95&gt;0,"限度超過",U109+U119+U129+U139+U149+U169)</f>
        <v>4100</v>
      </c>
      <c r="AF97" s="26"/>
      <c r="AG97" s="26"/>
      <c r="AH97" s="26"/>
      <c r="AI97" s="173"/>
      <c r="AJ97" s="173"/>
      <c r="AK97" s="173"/>
      <c r="AL97" s="173"/>
      <c r="AM97" s="173"/>
      <c r="AN97" s="173"/>
      <c r="AO97" s="173"/>
      <c r="AP97" s="173"/>
      <c r="AQ97" s="173"/>
      <c r="AR97" s="173"/>
      <c r="AS97" s="173"/>
      <c r="AT97" s="173"/>
      <c r="AU97" s="173"/>
      <c r="AV97" s="173"/>
      <c r="AW97" s="173"/>
      <c r="AX97" s="200"/>
      <c r="AY97" s="143"/>
      <c r="AZ97" s="223"/>
      <c r="BA97" s="222"/>
      <c r="BB97" s="222"/>
      <c r="BC97" s="200"/>
      <c r="BD97" s="401"/>
      <c r="BE97" s="401"/>
      <c r="BF97" s="401"/>
      <c r="BG97" s="401"/>
      <c r="BH97" s="401"/>
      <c r="BI97" s="401"/>
      <c r="BJ97" s="401"/>
      <c r="BK97" s="401"/>
      <c r="BL97" s="401"/>
      <c r="BM97" s="401"/>
      <c r="BN97" s="401"/>
      <c r="BO97" s="401"/>
      <c r="BP97" s="401"/>
      <c r="BQ97" s="401"/>
      <c r="BR97" s="401"/>
      <c r="BS97" s="200"/>
      <c r="BT97" s="200"/>
      <c r="BU97" s="200"/>
      <c r="BV97" s="200"/>
      <c r="BW97" s="12"/>
      <c r="BX97" s="32" t="s">
        <v>8</v>
      </c>
      <c r="BY97" s="45">
        <f>K97</f>
        <v>12</v>
      </c>
      <c r="BZ97" s="45">
        <f t="shared" ref="BZ97:CB98" si="62">BY97</f>
        <v>12</v>
      </c>
      <c r="CA97" s="45">
        <f t="shared" si="62"/>
        <v>12</v>
      </c>
      <c r="CB97" s="45">
        <f t="shared" si="62"/>
        <v>12</v>
      </c>
      <c r="CC97" s="4"/>
      <c r="CD97" s="46" t="s">
        <v>17</v>
      </c>
      <c r="CE97" s="54">
        <f>入力画面!E73</f>
        <v>9170</v>
      </c>
      <c r="CF97" s="54">
        <f>ROUNDUP(CE97*CF95/10,-1)</f>
        <v>6420</v>
      </c>
      <c r="CG97" s="54">
        <f>ROUNDUP(CE97*CG95/10,-1)</f>
        <v>4590</v>
      </c>
      <c r="CH97" s="54">
        <f>ROUNDUP(CE97*CH95/10,-1)</f>
        <v>1840</v>
      </c>
      <c r="CI97" s="13"/>
    </row>
    <row r="98" spans="1:87" ht="27.75" customHeight="1">
      <c r="A98" s="1418"/>
      <c r="B98" s="1277"/>
      <c r="C98" s="855"/>
      <c r="D98" s="1419"/>
      <c r="E98" s="1376"/>
      <c r="F98" s="1376"/>
      <c r="G98" s="1376"/>
      <c r="H98" s="855"/>
      <c r="I98" s="12"/>
      <c r="J98" s="855"/>
      <c r="K98" s="55">
        <v>12</v>
      </c>
      <c r="L98" s="12" t="s">
        <v>5</v>
      </c>
      <c r="M98" s="1380"/>
      <c r="N98" s="1377"/>
      <c r="O98" s="1404"/>
      <c r="P98" s="1404"/>
      <c r="Q98" s="1408"/>
      <c r="R98" s="1403"/>
      <c r="S98" s="1408"/>
      <c r="T98" s="49" t="s">
        <v>113</v>
      </c>
      <c r="U98" s="49"/>
      <c r="V98" s="53"/>
      <c r="W98" s="28" t="s">
        <v>37</v>
      </c>
      <c r="X98" s="29">
        <f t="shared" si="60"/>
        <v>407</v>
      </c>
      <c r="Y98" s="1423" t="s">
        <v>44</v>
      </c>
      <c r="Z98" s="1394">
        <f>IF($AH$13&gt;0,0,X94+X95+X96+X97+X98+X99+Z94+Z95+Z96+Z97)</f>
        <v>4100</v>
      </c>
      <c r="AA98" s="26"/>
      <c r="AB98" s="26"/>
      <c r="AC98" s="506" t="s">
        <v>37</v>
      </c>
      <c r="AD98" s="510" t="str">
        <f t="shared" si="61"/>
        <v>OK</v>
      </c>
      <c r="AE98" s="498" t="str">
        <f>IF(AG95&gt;0,"限度超過",IF(Z98=AE97,"OK","エラー"))</f>
        <v>OK</v>
      </c>
      <c r="AF98" s="473"/>
      <c r="AG98" s="26"/>
      <c r="AH98" s="4"/>
      <c r="AI98" s="173"/>
      <c r="AJ98" s="174"/>
      <c r="AK98" s="174"/>
      <c r="AL98" s="174"/>
      <c r="AM98" s="174"/>
      <c r="AN98" s="174"/>
      <c r="AO98" s="174"/>
      <c r="AP98" s="174"/>
      <c r="AQ98" s="174"/>
      <c r="AR98" s="174"/>
      <c r="AS98" s="174"/>
      <c r="AT98" s="174"/>
      <c r="AU98" s="174"/>
      <c r="AV98" s="174"/>
      <c r="AW98" s="174"/>
      <c r="AX98" s="12"/>
      <c r="AY98" s="143"/>
      <c r="AZ98" s="223"/>
      <c r="BB98" s="194"/>
      <c r="BC98" s="12"/>
      <c r="BE98" s="57"/>
      <c r="BG98" s="57"/>
      <c r="BH98" s="12"/>
      <c r="BJ98" s="57"/>
      <c r="BL98" s="57"/>
      <c r="BM98" s="12"/>
      <c r="BO98" s="57"/>
      <c r="BQ98" s="57"/>
      <c r="BR98" s="12"/>
      <c r="BS98" s="12"/>
      <c r="BT98" s="12"/>
      <c r="BU98" s="12"/>
      <c r="BV98" s="12"/>
      <c r="BW98" s="12"/>
      <c r="BX98" s="32" t="s">
        <v>25</v>
      </c>
      <c r="BY98" s="45">
        <f>K98</f>
        <v>12</v>
      </c>
      <c r="BZ98" s="45">
        <f t="shared" si="62"/>
        <v>12</v>
      </c>
      <c r="CA98" s="45">
        <f t="shared" si="62"/>
        <v>12</v>
      </c>
      <c r="CB98" s="45">
        <f t="shared" si="62"/>
        <v>12</v>
      </c>
      <c r="CC98" s="4"/>
      <c r="CD98" s="46" t="s">
        <v>1</v>
      </c>
      <c r="CE98" s="54">
        <f>入力画面!E74</f>
        <v>9420</v>
      </c>
      <c r="CF98" s="54">
        <f>ROUNDUP(CE98*CF95/10,-1)</f>
        <v>6600</v>
      </c>
      <c r="CG98" s="54">
        <f>ROUNDUP(CE98*CG95/10,-1)</f>
        <v>4710</v>
      </c>
      <c r="CH98" s="54">
        <f>ROUNDUP(CE98*CH95/10,-1)</f>
        <v>1890</v>
      </c>
      <c r="CI98" s="13"/>
    </row>
    <row r="99" spans="1:87" ht="27.75" customHeight="1">
      <c r="A99" s="165"/>
      <c r="B99" s="12"/>
      <c r="C99" s="12"/>
      <c r="D99" s="12"/>
      <c r="E99" s="12"/>
      <c r="F99" s="12"/>
      <c r="G99" s="12"/>
      <c r="H99" s="50"/>
      <c r="I99" s="12"/>
      <c r="J99" s="12"/>
      <c r="K99" s="76" t="s">
        <v>9</v>
      </c>
      <c r="L99" s="12"/>
      <c r="M99" s="12"/>
      <c r="N99" s="94"/>
      <c r="O99" s="42"/>
      <c r="P99" s="43"/>
      <c r="Q99" s="12"/>
      <c r="R99" s="12"/>
      <c r="S99" s="12" t="s">
        <v>116</v>
      </c>
      <c r="T99" s="161">
        <f>O97-O100</f>
        <v>2820</v>
      </c>
      <c r="U99" s="12" t="s">
        <v>6</v>
      </c>
      <c r="V99" s="12"/>
      <c r="W99" s="65" t="s">
        <v>38</v>
      </c>
      <c r="X99" s="66">
        <f t="shared" si="60"/>
        <v>407</v>
      </c>
      <c r="Y99" s="1424"/>
      <c r="Z99" s="1425"/>
      <c r="AA99" s="4"/>
      <c r="AB99" s="4"/>
      <c r="AC99" s="506" t="s">
        <v>38</v>
      </c>
      <c r="AD99" s="510" t="str">
        <f t="shared" si="61"/>
        <v>OK</v>
      </c>
      <c r="AE99" s="497">
        <f>IF(AH13&gt;0,0,L176)</f>
        <v>4100</v>
      </c>
      <c r="AF99" s="474">
        <f>E97-E100</f>
        <v>2820</v>
      </c>
      <c r="AG99" s="4"/>
      <c r="AH99" s="4"/>
      <c r="AI99" s="271"/>
      <c r="AJ99" s="179"/>
      <c r="AK99" s="179"/>
      <c r="AL99" s="179"/>
      <c r="AM99" s="179"/>
      <c r="AN99" s="179"/>
      <c r="AO99" s="179"/>
      <c r="AP99" s="179"/>
      <c r="AQ99" s="179"/>
      <c r="AR99" s="179"/>
      <c r="AS99" s="179"/>
      <c r="AT99" s="179"/>
      <c r="AU99" s="179"/>
      <c r="AV99" s="179"/>
      <c r="AW99" s="179"/>
      <c r="AX99" s="12"/>
      <c r="AY99" s="1347" t="s">
        <v>267</v>
      </c>
      <c r="AZ99" s="1348"/>
      <c r="BA99" s="1349"/>
      <c r="BB99" s="465">
        <f>IF(AG2,"限度超過",BB109+BB119+BB129+BB139+BB149+BB159+BB169)</f>
        <v>4100</v>
      </c>
      <c r="BC99" s="12"/>
      <c r="BD99" s="142"/>
      <c r="BE99" s="57"/>
      <c r="BH99" s="12"/>
      <c r="BJ99" s="57"/>
      <c r="BM99" s="12"/>
      <c r="BO99" s="57"/>
      <c r="BR99" s="12"/>
      <c r="BS99" s="12"/>
      <c r="BT99" s="12"/>
      <c r="BU99" s="12"/>
      <c r="BV99" s="12"/>
      <c r="BW99" s="12"/>
      <c r="BX99" s="67" t="s">
        <v>27</v>
      </c>
      <c r="BY99" s="44">
        <v>0</v>
      </c>
      <c r="BZ99" s="45">
        <f>ROUNDDOWN(BZ96*BZ97/BZ98,0)</f>
        <v>6600</v>
      </c>
      <c r="CA99" s="45">
        <f>ROUNDDOWN(CA96*CA97/CA98,0)</f>
        <v>4710</v>
      </c>
      <c r="CB99" s="45">
        <f>ROUNDDOWN(CB96*CB97/CB98,0)</f>
        <v>1890</v>
      </c>
      <c r="CC99" s="4"/>
      <c r="CD99" s="46" t="s">
        <v>18</v>
      </c>
      <c r="CE99" s="54">
        <f>入力画面!E75</f>
        <v>260000</v>
      </c>
      <c r="CF99" s="48"/>
      <c r="CG99" s="48"/>
      <c r="CH99" s="48"/>
      <c r="CI99" s="13"/>
    </row>
    <row r="100" spans="1:87" ht="16.5" customHeight="1">
      <c r="A100" s="1418"/>
      <c r="B100" s="1277"/>
      <c r="C100" s="855" t="s">
        <v>24</v>
      </c>
      <c r="D100" s="1419" t="s">
        <v>123</v>
      </c>
      <c r="E100" s="1376">
        <f>IF(D94=0,0,IF(D94=7,CF98,IF(D94=5,CG98,IF(D94=2,CH98,"軽減誤り"))))</f>
        <v>6600</v>
      </c>
      <c r="F100" s="1376"/>
      <c r="G100" s="1376"/>
      <c r="H100" s="855" t="s">
        <v>109</v>
      </c>
      <c r="I100" s="12"/>
      <c r="J100" s="855" t="s">
        <v>59</v>
      </c>
      <c r="K100" s="51">
        <f>MAX(BV165:BV171)</f>
        <v>12</v>
      </c>
      <c r="L100" s="52" t="s">
        <v>5</v>
      </c>
      <c r="M100" s="1380" t="s">
        <v>122</v>
      </c>
      <c r="N100" s="1377" t="s">
        <v>14</v>
      </c>
      <c r="O100" s="1404">
        <f>E100*K100/K101</f>
        <v>6600</v>
      </c>
      <c r="P100" s="1404"/>
      <c r="Q100" s="1408" t="s">
        <v>6</v>
      </c>
      <c r="R100" s="12"/>
      <c r="S100" s="12"/>
      <c r="T100" s="49"/>
      <c r="U100" s="49"/>
      <c r="V100" s="12"/>
      <c r="W100" s="1463" t="s">
        <v>120</v>
      </c>
      <c r="X100" s="1464"/>
      <c r="Y100" s="1465">
        <f>IF(Z98=0,0,Z98/K97)</f>
        <v>342</v>
      </c>
      <c r="Z100" s="1466"/>
      <c r="AA100" s="4"/>
      <c r="AB100" s="4"/>
      <c r="AC100" s="506" t="s">
        <v>39</v>
      </c>
      <c r="AD100" s="508" t="str">
        <f>AM111</f>
        <v>OK</v>
      </c>
      <c r="AE100" s="498" t="str">
        <f>IF(Z98=AE99,"OK","エラー")</f>
        <v>OK</v>
      </c>
      <c r="AF100" s="475"/>
      <c r="AG100" s="4"/>
      <c r="AH100" s="4" t="s">
        <v>166</v>
      </c>
      <c r="AI100" s="174"/>
      <c r="AJ100" s="174"/>
      <c r="AK100" s="174"/>
      <c r="AL100" s="174"/>
      <c r="AM100" s="174"/>
      <c r="AN100" s="174"/>
      <c r="AO100" s="174"/>
      <c r="AP100" s="174"/>
      <c r="AQ100" s="174"/>
      <c r="AR100" s="174"/>
      <c r="AS100" s="174"/>
      <c r="AT100" s="174"/>
      <c r="AU100" s="174"/>
      <c r="AV100" s="174"/>
      <c r="AW100" s="174"/>
      <c r="AX100" s="12"/>
      <c r="AY100" s="143"/>
      <c r="AZ100" s="57"/>
      <c r="BB100" s="1317" t="s">
        <v>268</v>
      </c>
      <c r="BC100" s="12"/>
      <c r="BD100" s="142"/>
      <c r="BE100" s="57"/>
      <c r="BH100" s="12"/>
      <c r="BJ100" s="57"/>
      <c r="BM100" s="12"/>
      <c r="BO100" s="57"/>
      <c r="BR100" s="12"/>
      <c r="BS100" s="12"/>
      <c r="BT100" s="12"/>
      <c r="BU100" s="12"/>
      <c r="BV100" s="12"/>
      <c r="BW100" s="12"/>
      <c r="BX100" s="4"/>
      <c r="BY100" s="164"/>
      <c r="BZ100" s="26"/>
      <c r="CA100" s="26"/>
      <c r="CB100" s="26"/>
      <c r="CC100" s="4"/>
      <c r="CD100" s="35" t="s">
        <v>21</v>
      </c>
      <c r="CE100" s="54">
        <f>入力画面!E76</f>
        <v>430000</v>
      </c>
      <c r="CF100" s="48"/>
      <c r="CG100" s="48"/>
      <c r="CH100" s="48"/>
      <c r="CI100" s="13"/>
    </row>
    <row r="101" spans="1:87" ht="16.5" customHeight="1" thickBot="1">
      <c r="A101" s="1418"/>
      <c r="B101" s="1277"/>
      <c r="C101" s="855"/>
      <c r="D101" s="1419"/>
      <c r="E101" s="1376"/>
      <c r="F101" s="1376"/>
      <c r="G101" s="1376"/>
      <c r="H101" s="855"/>
      <c r="I101" s="12"/>
      <c r="J101" s="855"/>
      <c r="K101" s="55">
        <v>12</v>
      </c>
      <c r="L101" s="12" t="s">
        <v>5</v>
      </c>
      <c r="M101" s="1380"/>
      <c r="N101" s="1377"/>
      <c r="O101" s="1404"/>
      <c r="P101" s="1404"/>
      <c r="Q101" s="1408"/>
      <c r="R101" s="12"/>
      <c r="S101" s="12"/>
      <c r="T101" s="49" t="s">
        <v>114</v>
      </c>
      <c r="U101" s="49"/>
      <c r="V101" s="75" t="s">
        <v>118</v>
      </c>
      <c r="W101" s="4"/>
      <c r="X101" s="26"/>
      <c r="Y101" s="74"/>
      <c r="Z101" s="187"/>
      <c r="AA101" s="4"/>
      <c r="AB101" s="4"/>
      <c r="AC101" s="506" t="s">
        <v>40</v>
      </c>
      <c r="AD101" s="508" t="str">
        <f>AM112</f>
        <v>OK</v>
      </c>
      <c r="AE101" s="74"/>
      <c r="AF101" s="231"/>
      <c r="AG101" s="4"/>
      <c r="AH101" s="158" t="s">
        <v>117</v>
      </c>
      <c r="AI101" s="174"/>
      <c r="AJ101" s="174"/>
      <c r="AK101" s="174"/>
      <c r="AL101" s="174"/>
      <c r="AM101" s="174"/>
      <c r="AN101" s="174"/>
      <c r="AO101" s="174"/>
      <c r="AP101" s="174"/>
      <c r="AQ101" s="174"/>
      <c r="AR101" s="174"/>
      <c r="AS101" s="174"/>
      <c r="AT101" s="174"/>
      <c r="AU101" s="174"/>
      <c r="AV101" s="174"/>
      <c r="AW101" s="174"/>
      <c r="AX101" s="12"/>
      <c r="AY101" s="143"/>
      <c r="AZ101" s="57"/>
      <c r="BB101" s="1318"/>
      <c r="BC101" s="12"/>
      <c r="BD101" s="142"/>
      <c r="BE101" s="57"/>
      <c r="BH101" s="12"/>
      <c r="BJ101" s="57"/>
      <c r="BM101" s="12"/>
      <c r="BO101" s="57"/>
      <c r="BR101" s="12"/>
      <c r="BS101" s="12"/>
      <c r="BT101" s="12"/>
      <c r="BU101" s="12"/>
      <c r="BV101" s="12"/>
      <c r="BW101" s="12"/>
      <c r="BX101" s="4"/>
      <c r="BY101" s="164"/>
      <c r="BZ101" s="26"/>
      <c r="CA101" s="26"/>
      <c r="CB101" s="26"/>
      <c r="CC101" s="4"/>
      <c r="CD101" s="715" t="s">
        <v>468</v>
      </c>
      <c r="CE101" s="54">
        <f>入力画面!E77</f>
        <v>4590</v>
      </c>
      <c r="CF101" s="54">
        <f>入力画面!G77</f>
        <v>1380</v>
      </c>
      <c r="CG101" s="54">
        <f>入力画面!J77</f>
        <v>2290</v>
      </c>
      <c r="CH101" s="54">
        <f>入力画面!N77</f>
        <v>3670</v>
      </c>
      <c r="CI101" s="13"/>
    </row>
    <row r="102" spans="1:87" ht="16.5" customHeight="1" thickTop="1">
      <c r="A102" s="58"/>
      <c r="B102" s="59"/>
      <c r="C102" s="59"/>
      <c r="D102" s="52"/>
      <c r="E102" s="60"/>
      <c r="F102" s="52"/>
      <c r="G102" s="52"/>
      <c r="H102" s="27"/>
      <c r="I102" s="52"/>
      <c r="J102" s="27"/>
      <c r="K102" s="61"/>
      <c r="L102" s="52"/>
      <c r="M102" s="52"/>
      <c r="N102" s="62"/>
      <c r="O102" s="62"/>
      <c r="P102" s="52"/>
      <c r="Q102" s="63"/>
      <c r="R102" s="60"/>
      <c r="S102" s="59" t="s">
        <v>124</v>
      </c>
      <c r="T102" s="212">
        <f>K106+K116+K126+K136+K146+K156+K166</f>
        <v>12</v>
      </c>
      <c r="U102" s="59" t="s">
        <v>5</v>
      </c>
      <c r="V102" s="52" t="s">
        <v>125</v>
      </c>
      <c r="W102" s="188"/>
      <c r="X102" s="189">
        <f>IF(K97=0,0,T99/T102)</f>
        <v>235</v>
      </c>
      <c r="Y102" s="60" t="s">
        <v>6</v>
      </c>
      <c r="Z102" s="163"/>
      <c r="AA102" s="4"/>
      <c r="AB102" s="4"/>
      <c r="AC102" s="506" t="s">
        <v>41</v>
      </c>
      <c r="AD102" s="508" t="str">
        <f>AM113</f>
        <v>OK</v>
      </c>
      <c r="AE102" s="74"/>
      <c r="AF102" s="231"/>
      <c r="AG102" s="4"/>
      <c r="AH102" s="275">
        <f>AH13</f>
        <v>0</v>
      </c>
      <c r="AI102" s="174"/>
      <c r="AJ102" s="174"/>
      <c r="AK102" s="174"/>
      <c r="AL102" s="174"/>
      <c r="AM102" s="174"/>
      <c r="AN102" s="174"/>
      <c r="AO102" s="1298" t="s">
        <v>235</v>
      </c>
      <c r="AP102" s="1298"/>
      <c r="AQ102" s="1298"/>
      <c r="AR102" s="1298"/>
      <c r="AS102" s="350"/>
      <c r="AT102" s="1295" t="s">
        <v>227</v>
      </c>
      <c r="AU102" s="1295"/>
      <c r="AV102" s="350"/>
      <c r="AW102" s="350"/>
      <c r="AX102" s="321"/>
      <c r="AY102" s="1315" t="s">
        <v>227</v>
      </c>
      <c r="AZ102" s="1316"/>
      <c r="BA102" s="417"/>
      <c r="BB102" s="418"/>
      <c r="BC102" s="321"/>
      <c r="BD102" s="444"/>
      <c r="BE102" s="445"/>
      <c r="BF102" s="446"/>
      <c r="BG102" s="446"/>
      <c r="BH102" s="447"/>
      <c r="BI102" s="446"/>
      <c r="BJ102" s="445"/>
      <c r="BK102" s="446"/>
      <c r="BL102" s="446"/>
      <c r="BM102" s="447"/>
      <c r="BN102" s="446"/>
      <c r="BO102" s="445"/>
      <c r="BP102" s="446"/>
      <c r="BQ102" s="446"/>
      <c r="BR102" s="448"/>
      <c r="BS102" s="12"/>
      <c r="BT102" s="12"/>
      <c r="BU102" s="12"/>
      <c r="BV102" s="12"/>
      <c r="BW102" s="12"/>
      <c r="BX102" s="4"/>
      <c r="BY102" s="164"/>
      <c r="BZ102" s="26"/>
      <c r="CA102" s="26"/>
      <c r="CB102" s="26"/>
      <c r="CC102" s="4"/>
      <c r="CD102" s="186"/>
      <c r="CE102" s="26"/>
      <c r="CF102" s="4"/>
      <c r="CG102" s="4"/>
      <c r="CH102" s="4"/>
      <c r="CI102" s="13"/>
    </row>
    <row r="103" spans="1:87" ht="20.25" customHeight="1">
      <c r="A103" s="68"/>
      <c r="B103" s="68"/>
      <c r="C103" s="68"/>
      <c r="E103" s="69"/>
      <c r="J103" s="9"/>
      <c r="K103" s="18"/>
      <c r="Q103" s="70"/>
      <c r="R103" s="69"/>
      <c r="S103" s="68"/>
      <c r="T103" s="1467" t="s">
        <v>74</v>
      </c>
      <c r="U103" s="1467"/>
      <c r="V103" s="1467"/>
      <c r="W103" s="1467"/>
      <c r="X103" s="1467"/>
      <c r="Y103" s="1467"/>
      <c r="Z103" s="1467"/>
      <c r="AA103" s="71"/>
      <c r="AB103" s="71"/>
      <c r="AC103" s="506" t="s">
        <v>42</v>
      </c>
      <c r="AD103" s="508" t="str">
        <f>AM114</f>
        <v>OK</v>
      </c>
      <c r="AE103" s="71"/>
      <c r="AF103" s="232"/>
      <c r="AG103" s="71"/>
      <c r="AH103" s="4"/>
      <c r="AI103" s="170"/>
      <c r="AJ103" s="1432" t="s">
        <v>271</v>
      </c>
      <c r="AK103" s="1433"/>
      <c r="AL103" s="1433"/>
      <c r="AM103" s="1434"/>
      <c r="AN103" s="170"/>
      <c r="AO103" s="370" t="s">
        <v>219</v>
      </c>
      <c r="AP103" s="1283" t="s">
        <v>234</v>
      </c>
      <c r="AQ103" s="1283"/>
      <c r="AR103" s="1283"/>
      <c r="AS103" s="372"/>
      <c r="AT103" s="1321" t="s">
        <v>220</v>
      </c>
      <c r="AU103" s="1321"/>
      <c r="AV103" s="1321"/>
      <c r="AW103" s="1321"/>
      <c r="AX103" s="321"/>
      <c r="AY103" s="419" t="s">
        <v>226</v>
      </c>
      <c r="AZ103" s="1290" t="s">
        <v>225</v>
      </c>
      <c r="BA103" s="1290"/>
      <c r="BB103" s="1291"/>
      <c r="BC103" s="321"/>
      <c r="BD103" s="1267" t="s">
        <v>264</v>
      </c>
      <c r="BE103" s="1268"/>
      <c r="BF103" s="1268"/>
      <c r="BG103" s="1268"/>
      <c r="BH103" s="12"/>
      <c r="BI103" s="440" t="s">
        <v>265</v>
      </c>
      <c r="BJ103" s="1269" t="s">
        <v>263</v>
      </c>
      <c r="BK103" s="1269"/>
      <c r="BL103" s="1269"/>
      <c r="BM103" s="12"/>
      <c r="BN103" s="12"/>
      <c r="BO103" s="143" t="s">
        <v>266</v>
      </c>
      <c r="BP103" s="12" t="s">
        <v>88</v>
      </c>
      <c r="BQ103" s="12"/>
      <c r="BR103" s="449"/>
      <c r="BS103" s="12"/>
      <c r="BT103" s="12"/>
      <c r="BU103" s="12"/>
      <c r="BV103" s="12"/>
      <c r="BW103" s="12"/>
      <c r="BX103" s="4"/>
      <c r="BY103" s="4"/>
      <c r="BZ103" s="4"/>
      <c r="CA103" s="4"/>
      <c r="CB103" s="4"/>
      <c r="CC103" s="4"/>
      <c r="CI103" s="13"/>
    </row>
    <row r="104" spans="1:87" ht="18" customHeight="1">
      <c r="A104" s="196" t="s">
        <v>127</v>
      </c>
      <c r="B104" s="1382">
        <f>B15</f>
        <v>11</v>
      </c>
      <c r="C104" s="1382"/>
      <c r="D104" s="1382"/>
      <c r="E104" s="198" t="s">
        <v>11</v>
      </c>
      <c r="F104" s="1412" t="s">
        <v>57</v>
      </c>
      <c r="G104" s="1412"/>
      <c r="H104" s="1469"/>
      <c r="I104" s="1449">
        <f>IF(I15=1,1,0)</f>
        <v>0</v>
      </c>
      <c r="J104" s="1450"/>
      <c r="K104" s="1373">
        <f>IF(H109=0,0,IF(K97=0, "加入月が未入力です!！",IF($L$176=$A$176,"限度超過額に達しているため計算不可能!!",IF(U106-U105=U107,"エラー名前を入力されているが加入月未入力!！",IF(H109&gt;K106,"加入月未入力エラー!！",0)))))</f>
        <v>0</v>
      </c>
      <c r="L104" s="1374"/>
      <c r="M104" s="1374"/>
      <c r="N104" s="1374"/>
      <c r="O104" s="1374"/>
      <c r="P104" s="1374"/>
      <c r="Q104" s="1374"/>
      <c r="R104" s="1374"/>
      <c r="S104" s="1375"/>
      <c r="T104" s="197" t="s">
        <v>47</v>
      </c>
      <c r="U104" s="1383" t="str">
        <f>IF(U109&gt;0,"支援分",0)</f>
        <v>支援分</v>
      </c>
      <c r="V104" s="1384"/>
      <c r="W104" s="1385" t="s">
        <v>46</v>
      </c>
      <c r="X104" s="1164"/>
      <c r="Y104" s="1164"/>
      <c r="Z104" s="1165"/>
      <c r="AA104" s="73"/>
      <c r="AB104" s="73"/>
      <c r="AC104" s="507" t="s">
        <v>117</v>
      </c>
      <c r="AD104" s="504" t="str">
        <f>AM115</f>
        <v>OK</v>
      </c>
      <c r="AE104" s="73"/>
      <c r="AF104" s="238" t="s">
        <v>117</v>
      </c>
      <c r="AG104" s="73"/>
      <c r="AH104" s="276">
        <f>IF(K106=0,0,IF(K106&lt;12,1,0))</f>
        <v>0</v>
      </c>
      <c r="AI104" s="175"/>
      <c r="AJ104" s="1435"/>
      <c r="AK104" s="1436"/>
      <c r="AL104" s="1436"/>
      <c r="AM104" s="1437"/>
      <c r="AN104" s="369" t="s">
        <v>51</v>
      </c>
      <c r="AO104" s="1205" t="s">
        <v>222</v>
      </c>
      <c r="AP104" s="1280"/>
      <c r="AQ104" s="1326">
        <f>IF(AR20=0,0,ROUNDDOWN(AR110/(AW21+AR110),8))</f>
        <v>0.25465838000000002</v>
      </c>
      <c r="AR104" s="1327"/>
      <c r="AS104" s="373"/>
      <c r="AT104" s="1205" t="s">
        <v>215</v>
      </c>
      <c r="AU104" s="1280"/>
      <c r="AV104" s="1296">
        <f>IF($AG$2&gt;0,0,AR110-AR109)</f>
        <v>4</v>
      </c>
      <c r="AW104" s="1297"/>
      <c r="AX104" s="321"/>
      <c r="AY104" s="1279" t="s">
        <v>46</v>
      </c>
      <c r="AZ104" s="1280"/>
      <c r="BA104" s="1292">
        <f>IF(R106+R109=0,0,IF(K107&gt;K106,"期割がアンマッチ使用禁止↓",0))</f>
        <v>0</v>
      </c>
      <c r="BB104" s="1293"/>
      <c r="BC104" s="321"/>
      <c r="BD104" s="1272" t="s">
        <v>46</v>
      </c>
      <c r="BE104" s="1273"/>
      <c r="BF104" s="1304" t="s">
        <v>128</v>
      </c>
      <c r="BG104" s="1305"/>
      <c r="BH104" s="12"/>
      <c r="BI104" s="1139" t="s">
        <v>89</v>
      </c>
      <c r="BJ104" s="1273"/>
      <c r="BK104" s="441"/>
      <c r="BL104" s="442"/>
      <c r="BM104" s="12"/>
      <c r="BN104" s="1139" t="s">
        <v>46</v>
      </c>
      <c r="BO104" s="1273"/>
      <c r="BP104" s="1270"/>
      <c r="BQ104" s="1271"/>
      <c r="BR104" s="449"/>
      <c r="BS104" s="12"/>
      <c r="BT104" s="12"/>
      <c r="BU104" s="74"/>
      <c r="BV104" s="74"/>
      <c r="BW104" s="12"/>
      <c r="BX104" s="4"/>
      <c r="BY104" s="4"/>
      <c r="BZ104" s="4"/>
      <c r="CA104" s="4"/>
      <c r="CB104" s="4"/>
      <c r="CC104" s="4"/>
      <c r="CD104" s="4"/>
      <c r="CE104" s="4"/>
      <c r="CF104" s="4"/>
      <c r="CG104" s="4"/>
      <c r="CH104" s="4"/>
      <c r="CI104" s="13"/>
    </row>
    <row r="105" spans="1:87" ht="18" customHeight="1">
      <c r="A105" s="165"/>
      <c r="B105" s="12"/>
      <c r="C105" s="75" t="s">
        <v>33</v>
      </c>
      <c r="D105" s="12"/>
      <c r="E105" s="12"/>
      <c r="F105" s="12"/>
      <c r="G105" s="12"/>
      <c r="H105" s="50"/>
      <c r="I105" s="12"/>
      <c r="J105" s="12"/>
      <c r="K105" s="76" t="s">
        <v>9</v>
      </c>
      <c r="L105" s="12"/>
      <c r="M105" s="1414"/>
      <c r="N105" s="1414"/>
      <c r="O105" s="1414"/>
      <c r="P105" s="1414"/>
      <c r="Q105" s="1414"/>
      <c r="R105" s="1414"/>
      <c r="S105" s="1415"/>
      <c r="T105" s="77" t="s">
        <v>30</v>
      </c>
      <c r="U105" s="78">
        <f>R106+R109</f>
        <v>1370</v>
      </c>
      <c r="V105" s="79" t="s">
        <v>6</v>
      </c>
      <c r="W105" s="80" t="s">
        <v>34</v>
      </c>
      <c r="X105" s="29">
        <f t="shared" ref="X105:X110" si="63">IF($AH$13&gt;0,0,IF($AG$2&gt;0,"限度超過",X94-(X115+X125+X135+X145+X155+X165)))</f>
        <v>433</v>
      </c>
      <c r="Y105" s="80" t="s">
        <v>39</v>
      </c>
      <c r="Z105" s="31">
        <f>IF($AH$13&gt;0,0,IF($AG$2&gt;0,"限度超過",Z94-(Z115+Z125+Z135+Z145+Z155+Z165)))</f>
        <v>408</v>
      </c>
      <c r="AA105" s="26"/>
      <c r="AB105" s="26"/>
      <c r="AC105" s="494"/>
      <c r="AD105" s="26"/>
      <c r="AE105" s="489"/>
      <c r="AF105" s="219">
        <f>AF106+AF109+AF112</f>
        <v>1370</v>
      </c>
      <c r="AG105" s="26"/>
      <c r="AH105" s="26"/>
      <c r="AI105" s="173"/>
      <c r="AJ105" s="22" t="s">
        <v>34</v>
      </c>
      <c r="AK105" s="23">
        <f t="shared" ref="AK105:AK110" si="64">IF($AG$2&gt;0,0,X105+X115+X125+X135+X145+X155+X165)</f>
        <v>433</v>
      </c>
      <c r="AL105" s="476" t="s">
        <v>39</v>
      </c>
      <c r="AM105" s="477">
        <f>IF($AG$2&gt;0,0,Z105+Z115+Z125+Z135+Z145+Z155+Z165)</f>
        <v>408</v>
      </c>
      <c r="AN105" s="174"/>
      <c r="AO105" s="126" t="s">
        <v>34</v>
      </c>
      <c r="AP105" s="347">
        <f>ROUND((AP16-AP194)*AQ104,0)</f>
        <v>433</v>
      </c>
      <c r="AQ105" s="354" t="s">
        <v>39</v>
      </c>
      <c r="AR105" s="348">
        <f>ROUND((AR16-AR194)*AQ104,0)</f>
        <v>407</v>
      </c>
      <c r="AS105" s="374"/>
      <c r="AT105" s="126" t="s">
        <v>34</v>
      </c>
      <c r="AU105" s="347">
        <f>IF(AV104=0,0,IF(AV104&gt;=10,1,IF(AV104&lt;=-10,-1,0)))</f>
        <v>0</v>
      </c>
      <c r="AV105" s="354" t="s">
        <v>39</v>
      </c>
      <c r="AW105" s="348">
        <f>IF(AV104=0,0,IF(AV104&gt;=4,1,IF(AV104&lt;=-4,-1,0)))</f>
        <v>1</v>
      </c>
      <c r="AX105" s="321"/>
      <c r="AY105" s="260" t="s">
        <v>34</v>
      </c>
      <c r="AZ105" s="375">
        <f>IF($AG$2&gt;0,"限度超過",IF($A$176=$L$176,"限度超過",AP105+AU105))</f>
        <v>433</v>
      </c>
      <c r="BA105" s="322" t="s">
        <v>39</v>
      </c>
      <c r="BB105" s="127">
        <f>IF($AG$2&gt;0,"限度超過",IF($A$176=$L$176,"限度超過",AR105+AW105))</f>
        <v>408</v>
      </c>
      <c r="BC105" s="321"/>
      <c r="BD105" s="450" t="s">
        <v>34</v>
      </c>
      <c r="BE105" s="81">
        <f t="shared" ref="BE105:BE110" si="65">IF($A$176=$L$176,"限度超過",X94-(AZ105+AZ115+AZ125+AZ135+AZ145+AZ155+AZ165))</f>
        <v>0</v>
      </c>
      <c r="BF105" s="80" t="s">
        <v>39</v>
      </c>
      <c r="BG105" s="29">
        <f>IF($A$176=$L$176,"限度超過",Z94-(BB105+BB115+BB125+BB135+BB145+BB155+BB165))</f>
        <v>0</v>
      </c>
      <c r="BH105" s="12"/>
      <c r="BI105" s="80" t="s">
        <v>34</v>
      </c>
      <c r="BJ105" s="29">
        <f t="shared" ref="BJ105:BJ110" si="66">IF($A$176=$L$176,"限度超過",IF(BE105=0,0,BE105/$S$94))</f>
        <v>0</v>
      </c>
      <c r="BK105" s="80" t="s">
        <v>39</v>
      </c>
      <c r="BL105" s="29">
        <f>IF($A$176=$L$176,"限度超過",IF(BG105=0,0,BG105/$S$94))</f>
        <v>0</v>
      </c>
      <c r="BM105" s="12"/>
      <c r="BN105" s="80" t="s">
        <v>34</v>
      </c>
      <c r="BO105" s="29">
        <f t="shared" ref="BO105:BO110" si="67">IF($A$176=$L$176,"限度超過",IF($S$94&lt;=1,BE105,BE105-(BO115+BO125+BO135+BO145+BO155+BO165)))</f>
        <v>0</v>
      </c>
      <c r="BP105" s="80" t="s">
        <v>39</v>
      </c>
      <c r="BQ105" s="29">
        <f>IF($A$176=$L$176,"限度超過",IF($S$94&lt;=1,BG105,BG105-(BQ115+BQ125+BQ135+BQ145+BQ155+BQ165)))</f>
        <v>0</v>
      </c>
      <c r="BR105" s="449"/>
      <c r="BS105" s="12"/>
      <c r="BT105" s="12"/>
      <c r="BU105" s="83"/>
      <c r="BV105" s="83"/>
      <c r="BW105" s="12"/>
      <c r="BX105" s="32"/>
      <c r="BY105" s="33" t="str">
        <f>CE95</f>
        <v>料率</v>
      </c>
      <c r="BZ105" s="33">
        <f>CF95</f>
        <v>7</v>
      </c>
      <c r="CA105" s="33">
        <f>CG95</f>
        <v>5</v>
      </c>
      <c r="CB105" s="33">
        <f>CH95</f>
        <v>2</v>
      </c>
      <c r="CC105" s="713" t="s">
        <v>467</v>
      </c>
      <c r="CD105" s="4"/>
      <c r="CE105" s="74"/>
      <c r="CF105" s="84"/>
      <c r="CG105" s="84"/>
      <c r="CH105" s="84"/>
      <c r="CI105" s="13"/>
    </row>
    <row r="106" spans="1:87" ht="18" customHeight="1">
      <c r="A106" s="1421" t="s">
        <v>0</v>
      </c>
      <c r="B106" s="1448" t="s">
        <v>129</v>
      </c>
      <c r="C106" s="1376">
        <f>C17</f>
        <v>0</v>
      </c>
      <c r="D106" s="855" t="s">
        <v>58</v>
      </c>
      <c r="E106" s="1416">
        <f>IF(H109&gt;0,$CE$100, 0)</f>
        <v>430000</v>
      </c>
      <c r="F106" s="1380" t="s">
        <v>22</v>
      </c>
      <c r="G106" s="855" t="s">
        <v>59</v>
      </c>
      <c r="H106" s="85">
        <f>IF(H109&gt;0,$CE$96,0)</f>
        <v>3.02</v>
      </c>
      <c r="I106" s="1277" t="s">
        <v>22</v>
      </c>
      <c r="J106" s="855" t="s">
        <v>59</v>
      </c>
      <c r="K106" s="51">
        <f>K17</f>
        <v>12</v>
      </c>
      <c r="L106" s="52" t="s">
        <v>5</v>
      </c>
      <c r="M106" s="1380"/>
      <c r="N106" s="1407"/>
      <c r="O106" s="86"/>
      <c r="P106" s="1377" t="s">
        <v>130</v>
      </c>
      <c r="Q106" s="1377"/>
      <c r="R106" s="1403">
        <f>ROUNDDOWN(IF(((C106-E106)*H106/H107)*K106/K107&lt;0,0,((C106-E106)*H106/H107)*K106/K107),0)</f>
        <v>0</v>
      </c>
      <c r="S106" s="1381" t="s">
        <v>6</v>
      </c>
      <c r="T106" s="72" t="s">
        <v>1</v>
      </c>
      <c r="U106" s="105">
        <f>T99-(U116+U126+U136+U146+U156+U166)</f>
        <v>2820</v>
      </c>
      <c r="V106" s="88" t="s">
        <v>6</v>
      </c>
      <c r="W106" s="30" t="s">
        <v>35</v>
      </c>
      <c r="X106" s="29">
        <f t="shared" si="63"/>
        <v>407</v>
      </c>
      <c r="Y106" s="30" t="s">
        <v>40</v>
      </c>
      <c r="Z106" s="31">
        <f>IF($AH$13&gt;0,0,IF($AG$2&gt;0,"限度超過",Z95-(Z116+Z126+Z136+Z146+Z156+Z166)))</f>
        <v>408</v>
      </c>
      <c r="AA106" s="26"/>
      <c r="AB106" s="26"/>
      <c r="AC106" s="494"/>
      <c r="AD106" s="26"/>
      <c r="AE106" s="489"/>
      <c r="AF106" s="1386">
        <f>ROUNDDOWN(IF(((C106-E106)*H106/H107)&lt;0,0,((C106-E106)*H106/H107)),0)</f>
        <v>0</v>
      </c>
      <c r="AG106" s="26"/>
      <c r="AH106" s="26"/>
      <c r="AI106" s="173"/>
      <c r="AJ106" s="28" t="s">
        <v>35</v>
      </c>
      <c r="AK106" s="29">
        <f t="shared" si="64"/>
        <v>407</v>
      </c>
      <c r="AL106" s="478" t="s">
        <v>40</v>
      </c>
      <c r="AM106" s="479">
        <f>IF($AG$2&gt;0,0,Z106+Z116+Z126+Z136+Z146+Z156+Z166)</f>
        <v>408</v>
      </c>
      <c r="AN106" s="175"/>
      <c r="AO106" s="126" t="s">
        <v>35</v>
      </c>
      <c r="AP106" s="347">
        <f>ROUND((AP17-AP195)*AQ104,0)</f>
        <v>407</v>
      </c>
      <c r="AQ106" s="354" t="s">
        <v>40</v>
      </c>
      <c r="AR106" s="348">
        <f>ROUND((AR17-AR195)*AQ104,0)</f>
        <v>407</v>
      </c>
      <c r="AS106" s="374"/>
      <c r="AT106" s="126" t="s">
        <v>35</v>
      </c>
      <c r="AU106" s="347">
        <f>IF(AV104=0,0,IF(AV104&gt;=9,1,IF(AV104&lt;=-9,-1,0)))</f>
        <v>0</v>
      </c>
      <c r="AV106" s="354" t="s">
        <v>40</v>
      </c>
      <c r="AW106" s="348">
        <f>IF(AV104=0,0,IF(AV104&gt;=3,1,IF(AV104&lt;=-3,-1,0)))</f>
        <v>1</v>
      </c>
      <c r="AX106" s="321"/>
      <c r="AY106" s="264" t="s">
        <v>35</v>
      </c>
      <c r="AZ106" s="375">
        <f t="shared" ref="AZ106:BB110" si="68">IF($AG$2&gt;0,"限度超過",IF($A$176=$L$176,"限度超過",AP106+AU106))</f>
        <v>407</v>
      </c>
      <c r="BA106" s="322" t="s">
        <v>40</v>
      </c>
      <c r="BB106" s="127">
        <f t="shared" si="68"/>
        <v>408</v>
      </c>
      <c r="BC106" s="321"/>
      <c r="BD106" s="451" t="s">
        <v>35</v>
      </c>
      <c r="BE106" s="81">
        <f t="shared" si="65"/>
        <v>0</v>
      </c>
      <c r="BF106" s="30" t="s">
        <v>40</v>
      </c>
      <c r="BG106" s="29">
        <f>IF($A$176=$L$176,"限度超過",Z95-(BB106+BB116+BB126+BB136+BB146+BB156+BB166))</f>
        <v>0</v>
      </c>
      <c r="BH106" s="12"/>
      <c r="BI106" s="30" t="s">
        <v>35</v>
      </c>
      <c r="BJ106" s="29">
        <f t="shared" si="66"/>
        <v>0</v>
      </c>
      <c r="BK106" s="30" t="s">
        <v>40</v>
      </c>
      <c r="BL106" s="29">
        <f>IF($A$176=$L$176,"限度超過",IF(BG106=0,0,BG106/$S$94))</f>
        <v>0</v>
      </c>
      <c r="BM106" s="12"/>
      <c r="BN106" s="30" t="s">
        <v>35</v>
      </c>
      <c r="BO106" s="29">
        <f t="shared" si="67"/>
        <v>0</v>
      </c>
      <c r="BP106" s="30" t="s">
        <v>40</v>
      </c>
      <c r="BQ106" s="29">
        <f>IF($A$176=$L$176,"限度超過",IF($S$94&lt;=1,BG106,BG106-(BQ116+BQ126+BQ136+BQ146+BQ156+BQ166)))</f>
        <v>0</v>
      </c>
      <c r="BR106" s="449"/>
      <c r="BS106" s="12"/>
      <c r="BT106" s="12"/>
      <c r="BU106" s="83"/>
      <c r="BV106" s="83"/>
      <c r="BW106" s="12"/>
      <c r="BX106" s="32" t="s">
        <v>17</v>
      </c>
      <c r="BY106" s="44">
        <v>0</v>
      </c>
      <c r="BZ106" s="45">
        <f>$CF$97</f>
        <v>6420</v>
      </c>
      <c r="CA106" s="45">
        <f>$CG$97</f>
        <v>4590</v>
      </c>
      <c r="CB106" s="45">
        <f>$CH$97</f>
        <v>1840</v>
      </c>
      <c r="CC106" s="713"/>
      <c r="CD106" s="4"/>
      <c r="CE106" s="89"/>
      <c r="CF106" s="4"/>
      <c r="CG106" s="4"/>
      <c r="CH106" s="4"/>
      <c r="CI106" s="13"/>
    </row>
    <row r="107" spans="1:87" ht="18" customHeight="1">
      <c r="A107" s="1421"/>
      <c r="B107" s="1448"/>
      <c r="C107" s="1376"/>
      <c r="D107" s="855"/>
      <c r="E107" s="1416"/>
      <c r="F107" s="1380"/>
      <c r="G107" s="855"/>
      <c r="H107" s="39">
        <v>100</v>
      </c>
      <c r="I107" s="1277"/>
      <c r="J107" s="855"/>
      <c r="K107" s="55">
        <v>12</v>
      </c>
      <c r="L107" s="12" t="s">
        <v>5</v>
      </c>
      <c r="M107" s="1380"/>
      <c r="N107" s="1407"/>
      <c r="O107" s="86"/>
      <c r="P107" s="1377"/>
      <c r="Q107" s="1377"/>
      <c r="R107" s="1403"/>
      <c r="S107" s="1381"/>
      <c r="T107" s="72" t="s">
        <v>29</v>
      </c>
      <c r="U107" s="87">
        <f>U105+U106</f>
        <v>4190</v>
      </c>
      <c r="V107" s="88" t="s">
        <v>6</v>
      </c>
      <c r="W107" s="30" t="s">
        <v>36</v>
      </c>
      <c r="X107" s="29">
        <f t="shared" si="63"/>
        <v>407</v>
      </c>
      <c r="Y107" s="30" t="s">
        <v>41</v>
      </c>
      <c r="Z107" s="31">
        <f>IF($AH$13&gt;0,0,IF($AG$2&gt;0,"限度超過",Z96-(Z117+Z127+Z137+Z147+Z157+Z167)))</f>
        <v>408</v>
      </c>
      <c r="AA107" s="26"/>
      <c r="AB107" s="26"/>
      <c r="AC107" s="494"/>
      <c r="AD107" s="26"/>
      <c r="AE107" s="489"/>
      <c r="AF107" s="1363"/>
      <c r="AG107" s="26"/>
      <c r="AH107" s="26"/>
      <c r="AI107" s="173"/>
      <c r="AJ107" s="28" t="s">
        <v>36</v>
      </c>
      <c r="AK107" s="29">
        <f t="shared" si="64"/>
        <v>407</v>
      </c>
      <c r="AL107" s="478" t="s">
        <v>41</v>
      </c>
      <c r="AM107" s="479">
        <f>IF($AG$2&gt;0,0,Z107+Z117+Z127+Z137+Z147+Z157+Z167)</f>
        <v>408</v>
      </c>
      <c r="AN107" s="173"/>
      <c r="AO107" s="126" t="s">
        <v>36</v>
      </c>
      <c r="AP107" s="347">
        <f>ROUND((AP18-AP196)*AQ104,0)</f>
        <v>407</v>
      </c>
      <c r="AQ107" s="354" t="s">
        <v>41</v>
      </c>
      <c r="AR107" s="348">
        <f>ROUND((AR18-AR196)*AQ104,0)</f>
        <v>407</v>
      </c>
      <c r="AS107" s="353"/>
      <c r="AT107" s="126" t="s">
        <v>36</v>
      </c>
      <c r="AU107" s="347">
        <f>IF(AV104=0,0,IF(AV104&gt;=8,1,IF(AV104&lt;=-8,-1,0)))</f>
        <v>0</v>
      </c>
      <c r="AV107" s="354" t="s">
        <v>41</v>
      </c>
      <c r="AW107" s="348">
        <f>IF(AV104=0,0,IF(AV104&gt;=2,1,IF(AV104&lt;=-2,-1,0)))</f>
        <v>1</v>
      </c>
      <c r="AX107" s="321"/>
      <c r="AY107" s="264" t="s">
        <v>36</v>
      </c>
      <c r="AZ107" s="375">
        <f t="shared" si="68"/>
        <v>407</v>
      </c>
      <c r="BA107" s="322" t="s">
        <v>41</v>
      </c>
      <c r="BB107" s="127">
        <f t="shared" si="68"/>
        <v>408</v>
      </c>
      <c r="BC107" s="321"/>
      <c r="BD107" s="451" t="s">
        <v>36</v>
      </c>
      <c r="BE107" s="81">
        <f t="shared" si="65"/>
        <v>0</v>
      </c>
      <c r="BF107" s="30" t="s">
        <v>41</v>
      </c>
      <c r="BG107" s="29">
        <f>IF($A$176=$L$176,"限度超過",Z96-(BB107+BB117+BB127+BB137+BB147+BB157+BB167))</f>
        <v>0</v>
      </c>
      <c r="BH107" s="12"/>
      <c r="BI107" s="30" t="s">
        <v>36</v>
      </c>
      <c r="BJ107" s="29">
        <f t="shared" si="66"/>
        <v>0</v>
      </c>
      <c r="BK107" s="30" t="s">
        <v>41</v>
      </c>
      <c r="BL107" s="29">
        <f>IF($A$176=$L$176,"限度超過",IF(BG107=0,0,BG107/$S$94))</f>
        <v>0</v>
      </c>
      <c r="BM107" s="12"/>
      <c r="BN107" s="30" t="s">
        <v>36</v>
      </c>
      <c r="BO107" s="29">
        <f t="shared" si="67"/>
        <v>0</v>
      </c>
      <c r="BP107" s="30" t="s">
        <v>41</v>
      </c>
      <c r="BQ107" s="29">
        <f>IF($A$176=$L$176,"限度超過",IF($S$94&lt;=1,BG107,BG107-(BQ117+BQ127+BQ137+BQ147+BQ157+BQ167)))</f>
        <v>0</v>
      </c>
      <c r="BR107" s="449"/>
      <c r="BS107" s="12"/>
      <c r="BT107" s="12"/>
      <c r="BU107" s="83"/>
      <c r="BV107" s="83"/>
      <c r="BW107" s="12"/>
      <c r="BX107" s="32" t="s">
        <v>8</v>
      </c>
      <c r="BY107" s="45">
        <f>K109</f>
        <v>12</v>
      </c>
      <c r="BZ107" s="45">
        <f t="shared" ref="BZ107:CB109" si="69">BY107</f>
        <v>12</v>
      </c>
      <c r="CA107" s="45">
        <f t="shared" si="69"/>
        <v>12</v>
      </c>
      <c r="CB107" s="45">
        <f t="shared" si="69"/>
        <v>12</v>
      </c>
      <c r="CC107" s="713">
        <f>CB107</f>
        <v>12</v>
      </c>
      <c r="CD107" s="4"/>
      <c r="CE107" s="90"/>
      <c r="CF107" s="26"/>
      <c r="CG107" s="26"/>
      <c r="CH107" s="26"/>
      <c r="CI107" s="13"/>
    </row>
    <row r="108" spans="1:87" ht="18" customHeight="1">
      <c r="A108" s="165"/>
      <c r="B108" s="12"/>
      <c r="C108" s="50"/>
      <c r="D108" s="12"/>
      <c r="E108" s="12"/>
      <c r="F108" s="12"/>
      <c r="G108" s="12"/>
      <c r="H108" s="91"/>
      <c r="I108" s="75"/>
      <c r="J108" s="75"/>
      <c r="K108" s="92"/>
      <c r="L108" s="75"/>
      <c r="M108" s="93"/>
      <c r="N108" s="714" t="str">
        <f>IF(入力画面!E12=1,"未就学児",0)</f>
        <v>未就学児</v>
      </c>
      <c r="O108" s="42">
        <f>IF(H109=0,0,$D$94)</f>
        <v>7</v>
      </c>
      <c r="P108" s="466" t="str">
        <f>IF(O109=0,0,"軽減額")</f>
        <v>軽減額</v>
      </c>
      <c r="Q108" s="12"/>
      <c r="R108" s="95"/>
      <c r="S108" s="49"/>
      <c r="T108" s="96" t="s">
        <v>31</v>
      </c>
      <c r="U108" s="87">
        <f>ROUNDDOWN(U107,-2)</f>
        <v>4100</v>
      </c>
      <c r="V108" s="88" t="s">
        <v>6</v>
      </c>
      <c r="W108" s="30" t="s">
        <v>43</v>
      </c>
      <c r="X108" s="29">
        <f t="shared" si="63"/>
        <v>407</v>
      </c>
      <c r="Y108" s="30" t="s">
        <v>42</v>
      </c>
      <c r="Z108" s="31">
        <f>IF($AH$13&gt;0,0,IF($AG$2&gt;0,"限度超過",Z97-(Z118+Z128+Z138+Z148+Z158+Z168)))</f>
        <v>408</v>
      </c>
      <c r="AA108" s="26"/>
      <c r="AB108" s="26"/>
      <c r="AC108" s="494"/>
      <c r="AD108" s="26"/>
      <c r="AE108" s="500" t="str">
        <f>IF($AH$13&gt;0,"－",IF($AG$2&gt;0,"限度超過",IF(U109=Z109,"OK","ｱﾝﾏｯﾁ")))</f>
        <v>OK</v>
      </c>
      <c r="AF108" s="499"/>
      <c r="AG108" s="26"/>
      <c r="AI108" s="173"/>
      <c r="AJ108" s="28" t="s">
        <v>43</v>
      </c>
      <c r="AK108" s="29">
        <f t="shared" si="64"/>
        <v>407</v>
      </c>
      <c r="AL108" s="478" t="s">
        <v>42</v>
      </c>
      <c r="AM108" s="479">
        <f>IF($AG$2&gt;0,0,Z108+Z118+Z128+Z138+Z148+Z158+Z168)</f>
        <v>408</v>
      </c>
      <c r="AN108" s="173"/>
      <c r="AO108" s="126" t="s">
        <v>43</v>
      </c>
      <c r="AP108" s="347">
        <f>ROUND((AP19-AP197)*AQ104,0)</f>
        <v>407</v>
      </c>
      <c r="AQ108" s="354" t="s">
        <v>42</v>
      </c>
      <c r="AR108" s="348">
        <f>ROUND((AR19-AR197)*AQ104,0)</f>
        <v>407</v>
      </c>
      <c r="AS108" s="353"/>
      <c r="AT108" s="126" t="s">
        <v>43</v>
      </c>
      <c r="AU108" s="347">
        <f>IF(AV104=0,0,IF(AV104&gt;=7,1,IF(AV104&lt;=-7,-1,0)))</f>
        <v>0</v>
      </c>
      <c r="AV108" s="354" t="s">
        <v>42</v>
      </c>
      <c r="AW108" s="348">
        <f>IF(AV104=0,0,IF(AV104&gt;=1,1,IF(AV104&lt;=-1,-1,0)))</f>
        <v>1</v>
      </c>
      <c r="AX108" s="321"/>
      <c r="AY108" s="264" t="s">
        <v>43</v>
      </c>
      <c r="AZ108" s="375">
        <f t="shared" si="68"/>
        <v>407</v>
      </c>
      <c r="BA108" s="322" t="s">
        <v>42</v>
      </c>
      <c r="BB108" s="127">
        <f t="shared" si="68"/>
        <v>408</v>
      </c>
      <c r="BC108" s="321"/>
      <c r="BD108" s="451" t="s">
        <v>43</v>
      </c>
      <c r="BE108" s="81">
        <f t="shared" si="65"/>
        <v>0</v>
      </c>
      <c r="BF108" s="30" t="s">
        <v>42</v>
      </c>
      <c r="BG108" s="29">
        <f>IF($A$176=$L$176,"限度超過",Z97-(BB108+BB118+BB128+BB138+BB148+BB158+BB168))</f>
        <v>0</v>
      </c>
      <c r="BH108" s="12"/>
      <c r="BI108" s="30" t="s">
        <v>43</v>
      </c>
      <c r="BJ108" s="29">
        <f t="shared" si="66"/>
        <v>0</v>
      </c>
      <c r="BK108" s="30" t="s">
        <v>42</v>
      </c>
      <c r="BL108" s="29">
        <f>IF($A$176=$L$176,"限度超過",IF(BG108=0,0,BG108/$S$94))</f>
        <v>0</v>
      </c>
      <c r="BM108" s="12"/>
      <c r="BN108" s="30" t="s">
        <v>43</v>
      </c>
      <c r="BO108" s="29">
        <f t="shared" si="67"/>
        <v>0</v>
      </c>
      <c r="BP108" s="30" t="s">
        <v>42</v>
      </c>
      <c r="BQ108" s="29">
        <f>IF($A$176=$L$176,"限度超過",IF($S$94&lt;=1,BG108,BG108-(BQ118+BQ128+BQ138+BQ148+BQ158+BQ168)))</f>
        <v>0</v>
      </c>
      <c r="BR108" s="449"/>
      <c r="BS108" s="12"/>
      <c r="BT108" s="12"/>
      <c r="BU108" s="83"/>
      <c r="BV108" s="83"/>
      <c r="BW108" s="12"/>
      <c r="BX108" s="32" t="s">
        <v>25</v>
      </c>
      <c r="BY108" s="45">
        <f>K110</f>
        <v>12</v>
      </c>
      <c r="BZ108" s="45">
        <f t="shared" si="69"/>
        <v>12</v>
      </c>
      <c r="CA108" s="45">
        <f t="shared" si="69"/>
        <v>12</v>
      </c>
      <c r="CB108" s="45">
        <f t="shared" si="69"/>
        <v>12</v>
      </c>
      <c r="CC108" s="713">
        <f>CB108</f>
        <v>12</v>
      </c>
      <c r="CD108" s="4"/>
      <c r="CE108" s="90"/>
      <c r="CF108" s="26"/>
      <c r="CG108" s="26"/>
      <c r="CH108" s="26"/>
      <c r="CI108" s="13"/>
    </row>
    <row r="109" spans="1:87" ht="18" customHeight="1">
      <c r="A109" s="1421" t="s">
        <v>10</v>
      </c>
      <c r="B109" s="12"/>
      <c r="C109" s="12"/>
      <c r="D109" s="1419" t="s">
        <v>7</v>
      </c>
      <c r="E109" s="1416">
        <f>IF(H109&gt;0,$CE$97,0)</f>
        <v>9170</v>
      </c>
      <c r="F109" s="97"/>
      <c r="G109" s="855" t="s">
        <v>59</v>
      </c>
      <c r="H109" s="1413">
        <f>IF(B104=0,0,SUBTOTAL(3,B104))</f>
        <v>1</v>
      </c>
      <c r="I109" s="1277" t="s">
        <v>22</v>
      </c>
      <c r="J109" s="855" t="s">
        <v>59</v>
      </c>
      <c r="K109" s="51">
        <f>IF(H109&gt;0,K106,0)</f>
        <v>12</v>
      </c>
      <c r="L109" s="52" t="s">
        <v>5</v>
      </c>
      <c r="M109" s="1407" t="s">
        <v>122</v>
      </c>
      <c r="N109" s="1402" t="str">
        <f>IF(O109=0,0,"―")</f>
        <v>―</v>
      </c>
      <c r="O109" s="1404">
        <f>IF(H109=0,0,IF(BY111=0,IF($D$94=7,BZ110,IF($D$94=5,CA110,IF($D$94=2,CB110,CC110))),IF($D$94=7,BZ110+BZ111,IF($D$94=5,CA110+CA111,IF($D$94=2,CB110+CB111,CC110+CC111)))))</f>
        <v>7800</v>
      </c>
      <c r="P109" s="1405"/>
      <c r="Q109" s="1377" t="s">
        <v>130</v>
      </c>
      <c r="R109" s="1403">
        <f>IF(H109&gt;0,IF(K106=0,0,ROUNDDOWN(((E109*H109)*K109/K110)-O109,0)),0)</f>
        <v>1370</v>
      </c>
      <c r="S109" s="1381" t="s">
        <v>6</v>
      </c>
      <c r="T109" s="1207" t="s">
        <v>32</v>
      </c>
      <c r="U109" s="1209">
        <f>IF(L176=A176,"限度超過!",L176-U119-U129-U139-U149-U159-U169)</f>
        <v>4100</v>
      </c>
      <c r="V109" s="1470" t="s">
        <v>6</v>
      </c>
      <c r="W109" s="30" t="s">
        <v>37</v>
      </c>
      <c r="X109" s="29">
        <f t="shared" si="63"/>
        <v>407</v>
      </c>
      <c r="Y109" s="1199" t="s">
        <v>44</v>
      </c>
      <c r="Z109" s="1394">
        <f>IF($AH$13&gt;0,0,IF($AG$2&gt;0,"限度超過",Z98-(Z119+Z129+Z139+Z149+Z159+Z169)))</f>
        <v>4100</v>
      </c>
      <c r="AA109" s="26"/>
      <c r="AB109" s="26"/>
      <c r="AC109" s="494"/>
      <c r="AD109" s="26"/>
      <c r="AE109" s="500" t="str">
        <f>IF($AG$2&gt;0,"限度超過",IF(X105+X106+X107+X108+X109+X110+Z105+Z106+Z107+Z108=Z109,"OK","エラー"))</f>
        <v>OK</v>
      </c>
      <c r="AF109" s="1362">
        <f>IF(H109&gt;0,IF(K106=0,0,ROUNDDOWN((E109*H109)-O109,0)),0)</f>
        <v>1370</v>
      </c>
      <c r="AG109" s="26"/>
      <c r="AI109" s="173"/>
      <c r="AJ109" s="28" t="s">
        <v>37</v>
      </c>
      <c r="AK109" s="29">
        <f t="shared" si="64"/>
        <v>407</v>
      </c>
      <c r="AL109" s="1440" t="s">
        <v>44</v>
      </c>
      <c r="AM109" s="1442">
        <f>AK105+AK106+AK107+AK108+AK109+AK110+AM105+AM106+AM107+AM108</f>
        <v>4100</v>
      </c>
      <c r="AN109" s="173"/>
      <c r="AO109" s="126" t="s">
        <v>37</v>
      </c>
      <c r="AP109" s="347">
        <f>ROUND((AP20-AP198)*AQ104,0)</f>
        <v>407</v>
      </c>
      <c r="AQ109" s="355" t="s">
        <v>44</v>
      </c>
      <c r="AR109" s="349">
        <f>AP105+AP106+AP107+AP108+AP109+AP110+AR105+AR106+AR107+AR108</f>
        <v>4096</v>
      </c>
      <c r="AS109" s="353"/>
      <c r="AT109" s="126" t="s">
        <v>37</v>
      </c>
      <c r="AU109" s="347">
        <f>IF(AV104=0,0,IF(AV104&gt;=6,1,IF(AV104&lt;=-6,-1,0)))</f>
        <v>0</v>
      </c>
      <c r="AV109" s="355" t="s">
        <v>44</v>
      </c>
      <c r="AW109" s="356">
        <f>AU105+AU106+AU107+AU108+AU109+AU110+AW105+AW106+AW107+AW108</f>
        <v>4</v>
      </c>
      <c r="AX109" s="321"/>
      <c r="AY109" s="264" t="s">
        <v>37</v>
      </c>
      <c r="AZ109" s="375">
        <f t="shared" si="68"/>
        <v>407</v>
      </c>
      <c r="BA109" s="323" t="s">
        <v>44</v>
      </c>
      <c r="BB109" s="420">
        <f>IF($AG$2&gt;0,"限度超過",AZ105+AZ106+AZ107+AZ108+AZ109+AZ110+BB105+BB106+BB107+BB108)</f>
        <v>4100</v>
      </c>
      <c r="BC109" s="321"/>
      <c r="BD109" s="451" t="s">
        <v>37</v>
      </c>
      <c r="BE109" s="81">
        <f t="shared" si="65"/>
        <v>0</v>
      </c>
      <c r="BF109" s="98" t="s">
        <v>44</v>
      </c>
      <c r="BG109" s="29">
        <f>IF($A$176=$L$176,"限度超過",BE105+BE106+BE107+BE108+BE109+BE110+BG105+BG106+BG107+BG108)</f>
        <v>0</v>
      </c>
      <c r="BH109" s="12"/>
      <c r="BI109" s="30" t="s">
        <v>37</v>
      </c>
      <c r="BJ109" s="29">
        <f t="shared" si="66"/>
        <v>0</v>
      </c>
      <c r="BK109" s="98" t="s">
        <v>44</v>
      </c>
      <c r="BL109" s="29">
        <f>IF($A$176=$L$176,"限度超過",BJ105+BJ106+BJ107+BJ108+BJ109+BJ110+BL105+BL106+BL107+BL108)</f>
        <v>0</v>
      </c>
      <c r="BM109" s="12"/>
      <c r="BN109" s="30" t="s">
        <v>37</v>
      </c>
      <c r="BO109" s="29">
        <f t="shared" si="67"/>
        <v>0</v>
      </c>
      <c r="BP109" s="98" t="s">
        <v>44</v>
      </c>
      <c r="BQ109" s="29">
        <f>IF($A$176=$L$176,"限度超過",BO105+BO106+BO107+BO108+BO109+BO110+BQ105+BQ106+BQ107+BQ108)</f>
        <v>0</v>
      </c>
      <c r="BR109" s="449"/>
      <c r="BS109" s="12"/>
      <c r="BT109" s="12"/>
      <c r="BU109" s="83"/>
      <c r="BV109" s="83"/>
      <c r="BW109" s="12"/>
      <c r="BX109" s="32" t="s">
        <v>26</v>
      </c>
      <c r="BY109" s="26">
        <f>H109</f>
        <v>1</v>
      </c>
      <c r="BZ109" s="99">
        <f t="shared" si="69"/>
        <v>1</v>
      </c>
      <c r="CA109" s="99">
        <f t="shared" si="69"/>
        <v>1</v>
      </c>
      <c r="CB109" s="99">
        <f t="shared" si="69"/>
        <v>1</v>
      </c>
      <c r="CC109" s="713">
        <f>CB109</f>
        <v>1</v>
      </c>
      <c r="CD109" s="4"/>
      <c r="CE109" s="90"/>
      <c r="CF109" s="4"/>
      <c r="CG109" s="4"/>
      <c r="CH109" s="4"/>
      <c r="CI109" s="13"/>
    </row>
    <row r="110" spans="1:87" ht="18" customHeight="1">
      <c r="A110" s="1421"/>
      <c r="B110" s="12"/>
      <c r="C110" s="12"/>
      <c r="D110" s="1419"/>
      <c r="E110" s="1416"/>
      <c r="F110" s="12"/>
      <c r="G110" s="855"/>
      <c r="H110" s="1413"/>
      <c r="I110" s="1277"/>
      <c r="J110" s="855"/>
      <c r="K110" s="180">
        <f>IF(H109&gt;0,K107,0)</f>
        <v>12</v>
      </c>
      <c r="L110" s="12" t="s">
        <v>5</v>
      </c>
      <c r="M110" s="1407"/>
      <c r="N110" s="1402"/>
      <c r="O110" s="1405"/>
      <c r="P110" s="1405"/>
      <c r="Q110" s="1377"/>
      <c r="R110" s="1403"/>
      <c r="S110" s="1381"/>
      <c r="T110" s="1411"/>
      <c r="U110" s="1255"/>
      <c r="V110" s="1471"/>
      <c r="W110" s="30" t="s">
        <v>38</v>
      </c>
      <c r="X110" s="29">
        <f t="shared" si="63"/>
        <v>407</v>
      </c>
      <c r="Y110" s="1368"/>
      <c r="Z110" s="1395"/>
      <c r="AA110" s="4"/>
      <c r="AB110" s="4"/>
      <c r="AC110" s="492"/>
      <c r="AD110" s="4"/>
      <c r="AE110" s="74"/>
      <c r="AF110" s="1363"/>
      <c r="AG110" s="4"/>
      <c r="AH110" s="4"/>
      <c r="AI110" s="174"/>
      <c r="AJ110" s="65" t="s">
        <v>38</v>
      </c>
      <c r="AK110" s="66">
        <f t="shared" si="64"/>
        <v>407</v>
      </c>
      <c r="AL110" s="1441"/>
      <c r="AM110" s="1443"/>
      <c r="AN110" s="173"/>
      <c r="AO110" s="126" t="s">
        <v>38</v>
      </c>
      <c r="AP110" s="347">
        <f>ROUND((AP21-AP199)*AQ104,0)</f>
        <v>407</v>
      </c>
      <c r="AQ110" s="354" t="s">
        <v>75</v>
      </c>
      <c r="AR110" s="333">
        <f>IF($AG$2&gt;0,"限度超過",U109)</f>
        <v>4100</v>
      </c>
      <c r="AS110" s="350"/>
      <c r="AT110" s="126" t="s">
        <v>38</v>
      </c>
      <c r="AU110" s="347">
        <f>IF(AV104=0,0,IF(AV104&gt;=5,1,IF(AV104&lt;=-5,-1,0)))</f>
        <v>0</v>
      </c>
      <c r="AV110" s="354"/>
      <c r="AW110" s="357" t="str">
        <f>IF(AU105+AU106+AU107+AU108+AU109+AU110+AW105+AW106+AW107+AW108=AV104,"計算ＯＫ","エラー発生")</f>
        <v>計算ＯＫ</v>
      </c>
      <c r="AX110" s="321"/>
      <c r="AY110" s="264" t="s">
        <v>38</v>
      </c>
      <c r="AZ110" s="375">
        <f t="shared" si="68"/>
        <v>407</v>
      </c>
      <c r="BA110" s="322"/>
      <c r="BB110" s="421">
        <f>IF($AG$2&gt;0,"限度超過",IF($A$176=$L$176,"限度超過",$U$109))</f>
        <v>4100</v>
      </c>
      <c r="BC110" s="321"/>
      <c r="BD110" s="451" t="s">
        <v>38</v>
      </c>
      <c r="BE110" s="81">
        <f t="shared" si="65"/>
        <v>0</v>
      </c>
      <c r="BF110" s="30"/>
      <c r="BG110" s="100"/>
      <c r="BH110" s="12"/>
      <c r="BI110" s="30" t="s">
        <v>38</v>
      </c>
      <c r="BJ110" s="29">
        <f t="shared" si="66"/>
        <v>0</v>
      </c>
      <c r="BK110" s="30"/>
      <c r="BL110" s="100"/>
      <c r="BM110" s="12"/>
      <c r="BN110" s="30" t="s">
        <v>38</v>
      </c>
      <c r="BO110" s="29">
        <f t="shared" si="67"/>
        <v>0</v>
      </c>
      <c r="BP110" s="30"/>
      <c r="BQ110" s="100"/>
      <c r="BR110" s="449"/>
      <c r="BS110" s="12"/>
      <c r="BT110" s="12"/>
      <c r="BU110" s="4"/>
      <c r="BV110" s="4"/>
      <c r="BW110" s="12"/>
      <c r="BX110" s="67" t="s">
        <v>27</v>
      </c>
      <c r="BY110" s="45">
        <f>IF(BY109&gt;0,ROUNDDOWN(BY106*BY109*BY107/BY108,0),0)</f>
        <v>0</v>
      </c>
      <c r="BZ110" s="45">
        <f>IF(BZ109&gt;0,ROUNDDOWN(BZ106*BZ109*BZ107/BZ108,0),0)</f>
        <v>6420</v>
      </c>
      <c r="CA110" s="45">
        <f>IF(CA109&gt;0,ROUNDDOWN(CA106*CA109*CA107/CA108,0),0)</f>
        <v>4590</v>
      </c>
      <c r="CB110" s="45">
        <f>IF(CB109&gt;0,ROUNDDOWN(CB106*CB109*CB107/CB108,0),0)</f>
        <v>1840</v>
      </c>
      <c r="CC110" s="713">
        <v>0</v>
      </c>
      <c r="CD110" s="74"/>
      <c r="CE110" s="90"/>
      <c r="CF110" s="4"/>
      <c r="CG110" s="4"/>
      <c r="CH110" s="4"/>
      <c r="CI110" s="13"/>
    </row>
    <row r="111" spans="1:87" ht="18" customHeight="1">
      <c r="A111" s="202"/>
      <c r="B111" s="75" t="s">
        <v>118</v>
      </c>
      <c r="C111" s="12"/>
      <c r="D111" s="160"/>
      <c r="E111" s="161"/>
      <c r="F111" s="12"/>
      <c r="G111" s="50"/>
      <c r="H111" s="162"/>
      <c r="I111" s="159"/>
      <c r="J111" s="50"/>
      <c r="K111" s="1406" t="s">
        <v>274</v>
      </c>
      <c r="L111" s="1406"/>
      <c r="M111" s="1406"/>
      <c r="N111" s="1406"/>
      <c r="O111" s="1406"/>
      <c r="P111" s="1406"/>
      <c r="Q111" s="156"/>
      <c r="R111" s="157"/>
      <c r="S111" s="49"/>
      <c r="T111" s="50"/>
      <c r="U111" s="1454" t="s">
        <v>275</v>
      </c>
      <c r="V111" s="1454"/>
      <c r="W111" s="1454"/>
      <c r="X111" s="1454"/>
      <c r="Y111" s="1454"/>
      <c r="Z111" s="187"/>
      <c r="AB111" s="4"/>
      <c r="AC111" s="492"/>
      <c r="AD111" s="4"/>
      <c r="AE111" s="74"/>
      <c r="AF111" s="236"/>
      <c r="AG111" s="234"/>
      <c r="AH111" s="4"/>
      <c r="AI111" s="174"/>
      <c r="AJ111" s="22" t="s">
        <v>34</v>
      </c>
      <c r="AK111" s="480" t="str">
        <f t="shared" ref="AK111:AK116" si="70">IF(X94=AK105,"OK","エラー")</f>
        <v>OK</v>
      </c>
      <c r="AL111" s="24" t="s">
        <v>39</v>
      </c>
      <c r="AM111" s="481" t="str">
        <f>IF(Z94=AM105,"OK","エラー")</f>
        <v>OK</v>
      </c>
      <c r="AN111" s="173"/>
      <c r="AO111" s="351"/>
      <c r="AP111" s="351"/>
      <c r="AQ111" s="352"/>
      <c r="AR111" s="352"/>
      <c r="AS111" s="350"/>
      <c r="AT111" s="350"/>
      <c r="AU111" s="350"/>
      <c r="AV111" s="350"/>
      <c r="AW111" s="350"/>
      <c r="AX111" s="321"/>
      <c r="AY111" s="422"/>
      <c r="AZ111" s="351"/>
      <c r="BA111" s="352"/>
      <c r="BB111" s="467" t="str">
        <f>IF(BB109=BB110,"OK","エラー")</f>
        <v>OK</v>
      </c>
      <c r="BC111" s="321"/>
      <c r="BD111" s="452"/>
      <c r="BF111" s="4" t="s">
        <v>260</v>
      </c>
      <c r="BH111" s="12"/>
      <c r="BM111" s="12"/>
      <c r="BR111" s="449"/>
      <c r="BS111" s="12"/>
      <c r="BT111" s="12"/>
      <c r="BU111" s="12"/>
      <c r="BV111" s="12"/>
      <c r="BW111" s="12"/>
      <c r="BX111" s="32" t="s">
        <v>468</v>
      </c>
      <c r="BY111" s="713">
        <f>IF(入力画面!E12=1,1,0)</f>
        <v>1</v>
      </c>
      <c r="BZ111" s="713">
        <f>IF($BY$111=1,ROUNDDOWN($CF$101*BZ107/BZ108,0),0)</f>
        <v>1380</v>
      </c>
      <c r="CA111" s="713">
        <f>IF($BY$111=1,ROUNDDOWN($CG$101*CA107/CA108,0),0)</f>
        <v>2290</v>
      </c>
      <c r="CB111" s="713">
        <f>IF($BY$111=1,ROUNDDOWN($CH$101*CB107/CB108,0),0)</f>
        <v>3670</v>
      </c>
      <c r="CC111" s="713">
        <f>IF($BY$111=1,ROUNDDOWN($CE$101*CC107/CC108,0),0)</f>
        <v>4590</v>
      </c>
      <c r="CD111" s="4"/>
      <c r="CE111" s="4"/>
      <c r="CF111" s="4"/>
      <c r="CG111" s="4"/>
      <c r="CH111" s="4"/>
      <c r="CI111" s="13"/>
    </row>
    <row r="112" spans="1:87" ht="18" customHeight="1">
      <c r="A112" s="58" t="s">
        <v>1</v>
      </c>
      <c r="B112" s="52"/>
      <c r="C112" s="189">
        <f>IF(H109&gt;0,$X$102,0)</f>
        <v>235</v>
      </c>
      <c r="D112" s="203" t="s">
        <v>6</v>
      </c>
      <c r="E112" s="60" t="s">
        <v>131</v>
      </c>
      <c r="F112" s="1204">
        <f>K106</f>
        <v>12</v>
      </c>
      <c r="G112" s="1204"/>
      <c r="H112" s="216" t="s">
        <v>5</v>
      </c>
      <c r="I112" s="1451" t="s">
        <v>273</v>
      </c>
      <c r="J112" s="1451"/>
      <c r="K112" s="1204">
        <f>T99-(K122+K132+K142+K152+K162+K172)</f>
        <v>2820</v>
      </c>
      <c r="L112" s="1204"/>
      <c r="M112" s="204" t="s">
        <v>6</v>
      </c>
      <c r="N112" s="204"/>
      <c r="O112" s="205"/>
      <c r="P112" s="205"/>
      <c r="Q112" s="63"/>
      <c r="R112" s="206"/>
      <c r="S112" s="59"/>
      <c r="T112" s="27"/>
      <c r="U112" s="207"/>
      <c r="V112" s="27"/>
      <c r="W112" s="188"/>
      <c r="X112" s="189"/>
      <c r="Y112" s="208"/>
      <c r="Z112" s="163"/>
      <c r="AA112" s="73"/>
      <c r="AB112" s="73"/>
      <c r="AC112" s="225"/>
      <c r="AD112" s="73"/>
      <c r="AE112" s="73"/>
      <c r="AF112" s="237"/>
      <c r="AG112" s="235"/>
      <c r="AH112" s="191"/>
      <c r="AI112" s="175"/>
      <c r="AJ112" s="28" t="s">
        <v>35</v>
      </c>
      <c r="AK112" s="482" t="str">
        <f t="shared" si="70"/>
        <v>OK</v>
      </c>
      <c r="AL112" s="30" t="s">
        <v>40</v>
      </c>
      <c r="AM112" s="483" t="str">
        <f>IF(Z95=AM106,"OK","エラー")</f>
        <v>OK</v>
      </c>
      <c r="AN112" s="174"/>
      <c r="AO112" s="1298" t="s">
        <v>235</v>
      </c>
      <c r="AP112" s="1298"/>
      <c r="AQ112" s="1298"/>
      <c r="AR112" s="1298"/>
      <c r="AS112" s="350"/>
      <c r="AT112" s="1295" t="s">
        <v>228</v>
      </c>
      <c r="AU112" s="1295"/>
      <c r="AV112" s="350"/>
      <c r="AW112" s="350"/>
      <c r="AX112" s="321"/>
      <c r="AY112" s="1294" t="s">
        <v>228</v>
      </c>
      <c r="AZ112" s="1295"/>
      <c r="BA112" s="352"/>
      <c r="BB112" s="424"/>
      <c r="BC112" s="321"/>
      <c r="BD112" s="1302" t="s">
        <v>228</v>
      </c>
      <c r="BE112" s="1303"/>
      <c r="BF112" s="4" t="s">
        <v>261</v>
      </c>
      <c r="BH112" s="12"/>
      <c r="BI112" s="1303" t="s">
        <v>228</v>
      </c>
      <c r="BJ112" s="1303"/>
      <c r="BM112" s="12"/>
      <c r="BN112" s="1303" t="s">
        <v>228</v>
      </c>
      <c r="BO112" s="1303"/>
      <c r="BR112" s="449"/>
      <c r="BS112" s="12"/>
      <c r="BT112" s="12"/>
      <c r="BU112" s="12"/>
      <c r="BV112" s="12"/>
      <c r="BW112" s="12"/>
      <c r="BX112" s="4"/>
      <c r="BY112" s="4"/>
      <c r="BZ112" s="4"/>
      <c r="CA112" s="4"/>
      <c r="CB112" s="4"/>
      <c r="CC112" s="4"/>
      <c r="CD112" s="4"/>
      <c r="CE112" s="4"/>
      <c r="CF112" s="4"/>
      <c r="CG112" s="4"/>
      <c r="CH112" s="4"/>
      <c r="CI112" s="13"/>
    </row>
    <row r="113" spans="1:87" ht="18" customHeight="1">
      <c r="D113" s="101"/>
      <c r="E113" s="70"/>
      <c r="G113" s="9"/>
      <c r="H113" s="102"/>
      <c r="I113" s="5"/>
      <c r="J113" s="9"/>
      <c r="K113" s="18"/>
      <c r="M113" s="103"/>
      <c r="P113" s="103"/>
      <c r="Q113" s="70"/>
      <c r="R113" s="104"/>
      <c r="S113" s="68"/>
      <c r="T113" s="68"/>
      <c r="U113" s="68"/>
      <c r="AA113" s="26"/>
      <c r="AB113" s="26"/>
      <c r="AC113" s="494"/>
      <c r="AD113" s="26"/>
      <c r="AE113" s="489"/>
      <c r="AF113" s="233"/>
      <c r="AG113" s="26"/>
      <c r="AH113" s="26"/>
      <c r="AI113" s="173"/>
      <c r="AJ113" s="28" t="s">
        <v>36</v>
      </c>
      <c r="AK113" s="482" t="str">
        <f t="shared" si="70"/>
        <v>OK</v>
      </c>
      <c r="AL113" s="30" t="s">
        <v>41</v>
      </c>
      <c r="AM113" s="483" t="str">
        <f>IF(Z96=AM107,"OK","エラー")</f>
        <v>OK</v>
      </c>
      <c r="AN113" s="174"/>
      <c r="AO113" s="370" t="s">
        <v>219</v>
      </c>
      <c r="AP113" s="1283" t="s">
        <v>234</v>
      </c>
      <c r="AQ113" s="1283"/>
      <c r="AR113" s="1283"/>
      <c r="AS113" s="372"/>
      <c r="AT113" s="1321" t="s">
        <v>220</v>
      </c>
      <c r="AU113" s="1321"/>
      <c r="AV113" s="1321"/>
      <c r="AW113" s="1321"/>
      <c r="AX113" s="321"/>
      <c r="AY113" s="419" t="s">
        <v>226</v>
      </c>
      <c r="AZ113" s="1290" t="s">
        <v>225</v>
      </c>
      <c r="BA113" s="1290"/>
      <c r="BB113" s="1291"/>
      <c r="BC113" s="321"/>
      <c r="BD113" s="1267" t="s">
        <v>264</v>
      </c>
      <c r="BE113" s="1268"/>
      <c r="BF113" s="1268"/>
      <c r="BG113" s="1268"/>
      <c r="BH113" s="12"/>
      <c r="BI113" s="440" t="s">
        <v>265</v>
      </c>
      <c r="BJ113" s="1269" t="s">
        <v>263</v>
      </c>
      <c r="BK113" s="1269"/>
      <c r="BL113" s="1269"/>
      <c r="BM113" s="12"/>
      <c r="BN113" s="12"/>
      <c r="BO113" s="143" t="s">
        <v>266</v>
      </c>
      <c r="BP113" s="12" t="s">
        <v>88</v>
      </c>
      <c r="BQ113" s="12"/>
      <c r="BR113" s="449"/>
      <c r="BS113" s="12"/>
      <c r="BT113" s="12"/>
      <c r="BU113" s="12"/>
      <c r="BV113" s="12"/>
      <c r="BW113" s="12"/>
      <c r="BX113" s="4"/>
      <c r="BY113" s="4"/>
      <c r="BZ113" s="4"/>
      <c r="CA113" s="4"/>
      <c r="CB113" s="4"/>
      <c r="CC113" s="4"/>
      <c r="CD113" s="4"/>
      <c r="CE113" s="4"/>
      <c r="CF113" s="4"/>
      <c r="CG113" s="4"/>
      <c r="CH113" s="4"/>
      <c r="CI113" s="13"/>
    </row>
    <row r="114" spans="1:87" ht="18" customHeight="1">
      <c r="A114" s="196" t="s">
        <v>52</v>
      </c>
      <c r="B114" s="1382">
        <f>B25</f>
        <v>0</v>
      </c>
      <c r="C114" s="1382"/>
      <c r="D114" s="1382"/>
      <c r="E114" s="198" t="s">
        <v>11</v>
      </c>
      <c r="F114" s="1412" t="s">
        <v>57</v>
      </c>
      <c r="G114" s="1412"/>
      <c r="H114" s="1469"/>
      <c r="I114" s="1449">
        <f>IF(I25=1,1,0)</f>
        <v>0</v>
      </c>
      <c r="J114" s="1450"/>
      <c r="K114" s="1373">
        <f>IF(H119=0,0,IF(K107=0, "加入月が未入力です!！",IF($L$176=$A$176,"限度超過額に達しているため計算不可能!!",IF(U116-U115=U117,"エラー名前を入力されているが加入月未入力!！",IF(H119&gt;K116,"加入月未入力エラー!！",0)))))</f>
        <v>0</v>
      </c>
      <c r="L114" s="1374"/>
      <c r="M114" s="1374"/>
      <c r="N114" s="1374"/>
      <c r="O114" s="1374"/>
      <c r="P114" s="1374"/>
      <c r="Q114" s="1374"/>
      <c r="R114" s="1374"/>
      <c r="S114" s="1375"/>
      <c r="T114" s="197" t="s">
        <v>47</v>
      </c>
      <c r="U114" s="1383">
        <f>IF(U119&gt;0,"支援分",0)</f>
        <v>0</v>
      </c>
      <c r="V114" s="1384"/>
      <c r="W114" s="1385" t="s">
        <v>46</v>
      </c>
      <c r="X114" s="1164"/>
      <c r="Y114" s="1164"/>
      <c r="Z114" s="1165"/>
      <c r="AA114" s="26"/>
      <c r="AB114" s="26"/>
      <c r="AC114" s="494"/>
      <c r="AD114" s="26"/>
      <c r="AE114" s="489"/>
      <c r="AF114" s="238" t="s">
        <v>117</v>
      </c>
      <c r="AG114" s="26"/>
      <c r="AH114" s="276">
        <f>IF(K116=0,0,IF(K116&lt;12,1,0))</f>
        <v>0</v>
      </c>
      <c r="AI114" s="73"/>
      <c r="AJ114" s="28" t="s">
        <v>43</v>
      </c>
      <c r="AK114" s="482" t="str">
        <f t="shared" si="70"/>
        <v>OK</v>
      </c>
      <c r="AL114" s="30" t="s">
        <v>42</v>
      </c>
      <c r="AM114" s="483" t="str">
        <f>IF(Z97=AM108,"OK","エラー")</f>
        <v>OK</v>
      </c>
      <c r="AN114" s="369" t="s">
        <v>145</v>
      </c>
      <c r="AO114" s="1205" t="s">
        <v>222</v>
      </c>
      <c r="AP114" s="1280"/>
      <c r="AQ114" s="1326">
        <f>IF(AR30=0,0,ROUNDDOWN(AR120/(AW31+AR120),8))</f>
        <v>0</v>
      </c>
      <c r="AR114" s="1327"/>
      <c r="AS114" s="373"/>
      <c r="AT114" s="1205" t="s">
        <v>215</v>
      </c>
      <c r="AU114" s="1280"/>
      <c r="AV114" s="1296">
        <f>IF($AG$2&gt;0,0,AR120-AR119)</f>
        <v>0</v>
      </c>
      <c r="AW114" s="1297"/>
      <c r="AX114" s="321"/>
      <c r="AY114" s="1279" t="s">
        <v>46</v>
      </c>
      <c r="AZ114" s="1280"/>
      <c r="BA114" s="1292">
        <f>IF(R116+R119=0,0,IF(K117&gt;K116,"期割がアンマッチ使用禁止↓",0))</f>
        <v>0</v>
      </c>
      <c r="BB114" s="1293"/>
      <c r="BC114" s="321"/>
      <c r="BD114" s="1272" t="s">
        <v>46</v>
      </c>
      <c r="BE114" s="1273"/>
      <c r="BF114" s="1304" t="s">
        <v>87</v>
      </c>
      <c r="BG114" s="1305"/>
      <c r="BH114" s="12"/>
      <c r="BI114" s="1139" t="s">
        <v>89</v>
      </c>
      <c r="BJ114" s="1273"/>
      <c r="BK114" s="441"/>
      <c r="BL114" s="442"/>
      <c r="BM114" s="12"/>
      <c r="BN114" s="1139" t="s">
        <v>46</v>
      </c>
      <c r="BO114" s="1273"/>
      <c r="BP114" s="1270"/>
      <c r="BQ114" s="1271"/>
      <c r="BR114" s="449"/>
      <c r="BS114" s="12"/>
      <c r="BT114" s="12"/>
      <c r="BU114" s="12"/>
      <c r="BV114" s="12"/>
      <c r="BW114" s="12"/>
      <c r="BX114" s="4"/>
      <c r="BY114" s="4"/>
      <c r="BZ114" s="4"/>
      <c r="CA114" s="4"/>
      <c r="CB114" s="4"/>
      <c r="CC114" s="4"/>
      <c r="CD114" s="4"/>
      <c r="CE114" s="4"/>
      <c r="CF114" s="4"/>
      <c r="CG114" s="4"/>
      <c r="CH114" s="4"/>
      <c r="CI114" s="13"/>
    </row>
    <row r="115" spans="1:87" ht="18" customHeight="1">
      <c r="A115" s="165"/>
      <c r="B115" s="12"/>
      <c r="C115" s="75" t="s">
        <v>33</v>
      </c>
      <c r="D115" s="12"/>
      <c r="E115" s="12"/>
      <c r="F115" s="12"/>
      <c r="G115" s="12"/>
      <c r="H115" s="50"/>
      <c r="I115" s="93"/>
      <c r="J115" s="12"/>
      <c r="K115" s="76" t="s">
        <v>9</v>
      </c>
      <c r="L115" s="12"/>
      <c r="M115" s="1414"/>
      <c r="N115" s="1414"/>
      <c r="O115" s="1414"/>
      <c r="P115" s="1414"/>
      <c r="Q115" s="1414"/>
      <c r="R115" s="1414"/>
      <c r="S115" s="1415"/>
      <c r="T115" s="72" t="s">
        <v>30</v>
      </c>
      <c r="U115" s="105">
        <f>R116+R119</f>
        <v>0</v>
      </c>
      <c r="V115" s="88" t="s">
        <v>6</v>
      </c>
      <c r="W115" s="80" t="s">
        <v>34</v>
      </c>
      <c r="X115" s="29">
        <f t="shared" ref="X115:X120" si="71">IF($AH$13&gt;0,0,AZ115)</f>
        <v>0</v>
      </c>
      <c r="Y115" s="80" t="s">
        <v>39</v>
      </c>
      <c r="Z115" s="31">
        <f>IF($AH$13&gt;0,0,BB115)</f>
        <v>0</v>
      </c>
      <c r="AA115" s="26"/>
      <c r="AB115" s="26"/>
      <c r="AC115" s="494"/>
      <c r="AD115" s="26"/>
      <c r="AE115" s="489"/>
      <c r="AF115" s="219">
        <f>AF116+AF119+AF122</f>
        <v>0</v>
      </c>
      <c r="AG115" s="26"/>
      <c r="AH115" s="26"/>
      <c r="AI115" s="173"/>
      <c r="AJ115" s="28" t="s">
        <v>37</v>
      </c>
      <c r="AK115" s="482" t="str">
        <f t="shared" si="70"/>
        <v>OK</v>
      </c>
      <c r="AL115" s="1139" t="s">
        <v>44</v>
      </c>
      <c r="AM115" s="1452" t="str">
        <f>IF(Z98=AM109,"OK","エラー")</f>
        <v>OK</v>
      </c>
      <c r="AN115" s="173"/>
      <c r="AO115" s="126" t="s">
        <v>34</v>
      </c>
      <c r="AP115" s="347">
        <f>ROUND((AP26-AP204)*AQ114,0)</f>
        <v>0</v>
      </c>
      <c r="AQ115" s="354" t="s">
        <v>39</v>
      </c>
      <c r="AR115" s="348">
        <f>ROUND((AR26-AR204)*AQ114,0)</f>
        <v>0</v>
      </c>
      <c r="AS115" s="374"/>
      <c r="AT115" s="126" t="s">
        <v>34</v>
      </c>
      <c r="AU115" s="347">
        <f>IF(AV114=0,0,IF(AV114&gt;=10,1,IF(AV114&lt;=-10,-1,0)))</f>
        <v>0</v>
      </c>
      <c r="AV115" s="354" t="s">
        <v>39</v>
      </c>
      <c r="AW115" s="348">
        <f>IF(AV114=0,0,IF(AV114&gt;=4,1,IF(AV114&lt;=-4,-1,0)))</f>
        <v>0</v>
      </c>
      <c r="AX115" s="321"/>
      <c r="AY115" s="260" t="s">
        <v>34</v>
      </c>
      <c r="AZ115" s="375">
        <f t="shared" ref="AZ115:AZ120" si="72">IF($AG$2&gt;0,"限度超過",IF($A$176=$L$176,"限度超過",AP115+AU115))</f>
        <v>0</v>
      </c>
      <c r="BA115" s="322" t="s">
        <v>39</v>
      </c>
      <c r="BB115" s="127">
        <f>IF($AG$2&gt;0,"限度超過",IF($A$176=$L$176,"限度超過",AR115+AW115))</f>
        <v>0</v>
      </c>
      <c r="BC115" s="321"/>
      <c r="BD115" s="451" t="s">
        <v>34</v>
      </c>
      <c r="BE115" s="81">
        <f t="shared" ref="BE115:BE120" si="73">BE105</f>
        <v>0</v>
      </c>
      <c r="BF115" s="82" t="s">
        <v>39</v>
      </c>
      <c r="BG115" s="29">
        <f>BG105</f>
        <v>0</v>
      </c>
      <c r="BH115" s="12"/>
      <c r="BI115" s="80" t="s">
        <v>34</v>
      </c>
      <c r="BJ115" s="29">
        <f t="shared" ref="BJ115:BJ120" si="74">IF($A$176=$L$176,"限度超過",IF(BE115=0,0,BE115/$S$94))</f>
        <v>0</v>
      </c>
      <c r="BK115" s="80" t="s">
        <v>39</v>
      </c>
      <c r="BL115" s="29">
        <f>IF($A$176=$L$176,"限度超過",IF(BG115=0,0,BG115/$S$94))</f>
        <v>0</v>
      </c>
      <c r="BM115" s="12"/>
      <c r="BN115" s="30" t="s">
        <v>34</v>
      </c>
      <c r="BO115" s="29">
        <f t="shared" ref="BO115:BO120" si="75">IF($A$176=$L$176,"限度超過",IF($S$94&lt;=1,0,BJ115))</f>
        <v>0</v>
      </c>
      <c r="BP115" s="80" t="s">
        <v>39</v>
      </c>
      <c r="BQ115" s="29">
        <f>IF($A$176=$L$176,"限度超過",IF($S$94&lt;=1,0,BL115))</f>
        <v>0</v>
      </c>
      <c r="BR115" s="449"/>
      <c r="BS115" s="12"/>
      <c r="BT115" s="12"/>
      <c r="BU115" s="12"/>
      <c r="BV115" s="12"/>
      <c r="BW115" s="12"/>
      <c r="BX115" s="32"/>
      <c r="BY115" s="33" t="str">
        <f>BY105</f>
        <v>料率</v>
      </c>
      <c r="BZ115" s="33">
        <f>BZ105</f>
        <v>7</v>
      </c>
      <c r="CA115" s="33">
        <f>CA105</f>
        <v>5</v>
      </c>
      <c r="CB115" s="33">
        <f>CB105</f>
        <v>2</v>
      </c>
      <c r="CC115" s="713" t="s">
        <v>467</v>
      </c>
      <c r="CD115" s="4"/>
      <c r="CE115" s="4"/>
      <c r="CF115" s="4"/>
      <c r="CG115" s="4"/>
      <c r="CH115" s="4"/>
      <c r="CI115" s="13"/>
    </row>
    <row r="116" spans="1:87" ht="18" customHeight="1">
      <c r="A116" s="1421" t="s">
        <v>0</v>
      </c>
      <c r="B116" s="1448" t="s">
        <v>129</v>
      </c>
      <c r="C116" s="1376">
        <f>C27</f>
        <v>0</v>
      </c>
      <c r="D116" s="855" t="s">
        <v>58</v>
      </c>
      <c r="E116" s="1416">
        <f>IF(H119&gt;0,$CE$100, 0)</f>
        <v>0</v>
      </c>
      <c r="F116" s="1380" t="s">
        <v>22</v>
      </c>
      <c r="G116" s="855" t="s">
        <v>59</v>
      </c>
      <c r="H116" s="85">
        <f>IF(H119&gt;0,$CE$96,0)</f>
        <v>0</v>
      </c>
      <c r="I116" s="1277" t="s">
        <v>22</v>
      </c>
      <c r="J116" s="855" t="s">
        <v>59</v>
      </c>
      <c r="K116" s="51">
        <f>K27</f>
        <v>0</v>
      </c>
      <c r="L116" s="52" t="s">
        <v>5</v>
      </c>
      <c r="M116" s="1380"/>
      <c r="N116" s="1407"/>
      <c r="O116" s="86"/>
      <c r="P116" s="1377" t="s">
        <v>130</v>
      </c>
      <c r="Q116" s="1377"/>
      <c r="R116" s="1403">
        <f>ROUNDDOWN(IF(((C116-E116)*H116/H117)*K116/K117&lt;0,0,((C116-E116)*H116/H117)*K116/K117),0)</f>
        <v>0</v>
      </c>
      <c r="S116" s="1381" t="s">
        <v>6</v>
      </c>
      <c r="T116" s="72" t="s">
        <v>1</v>
      </c>
      <c r="U116" s="105">
        <f>IF(H119=0,0,K122)</f>
        <v>0</v>
      </c>
      <c r="V116" s="88" t="s">
        <v>6</v>
      </c>
      <c r="W116" s="30" t="s">
        <v>35</v>
      </c>
      <c r="X116" s="29">
        <f t="shared" si="71"/>
        <v>0</v>
      </c>
      <c r="Y116" s="30" t="s">
        <v>40</v>
      </c>
      <c r="Z116" s="31">
        <f>IF($AH$13&gt;0,0,BB116)</f>
        <v>0</v>
      </c>
      <c r="AA116" s="26"/>
      <c r="AB116" s="26"/>
      <c r="AC116" s="494"/>
      <c r="AD116" s="26"/>
      <c r="AE116" s="489"/>
      <c r="AF116" s="1386">
        <f>ROUNDDOWN(IF(((C116-E116)*H116/H117)&lt;0,0,((C116-E116)*H116/H117)),0)</f>
        <v>0</v>
      </c>
      <c r="AG116" s="26"/>
      <c r="AH116" s="26"/>
      <c r="AI116" s="173"/>
      <c r="AJ116" s="65" t="s">
        <v>38</v>
      </c>
      <c r="AK116" s="484" t="str">
        <f t="shared" si="70"/>
        <v>OK</v>
      </c>
      <c r="AL116" s="1140"/>
      <c r="AM116" s="1453"/>
      <c r="AN116" s="173"/>
      <c r="AO116" s="126" t="s">
        <v>35</v>
      </c>
      <c r="AP116" s="347">
        <f>ROUND((AP27-AP205)*AQ114,0)</f>
        <v>0</v>
      </c>
      <c r="AQ116" s="354" t="s">
        <v>40</v>
      </c>
      <c r="AR116" s="348">
        <f>ROUND((AR27-AR205)*AQ114,0)</f>
        <v>0</v>
      </c>
      <c r="AS116" s="374"/>
      <c r="AT116" s="126" t="s">
        <v>35</v>
      </c>
      <c r="AU116" s="347">
        <f>IF(AV114=0,0,IF(AV114&gt;=9,1,IF(AV114&lt;=-9,-1,0)))</f>
        <v>0</v>
      </c>
      <c r="AV116" s="354" t="s">
        <v>40</v>
      </c>
      <c r="AW116" s="348">
        <f>IF(AV114=0,0,IF(AV114&gt;=3,1,IF(AV114&lt;=-3,-1,0)))</f>
        <v>0</v>
      </c>
      <c r="AX116" s="321"/>
      <c r="AY116" s="264" t="s">
        <v>35</v>
      </c>
      <c r="AZ116" s="375">
        <f t="shared" si="72"/>
        <v>0</v>
      </c>
      <c r="BA116" s="322" t="s">
        <v>40</v>
      </c>
      <c r="BB116" s="127">
        <f>IF($AG$2&gt;0,"限度超過",IF($A$176=$L$176,"限度超過",AR116+AW116))</f>
        <v>0</v>
      </c>
      <c r="BC116" s="321"/>
      <c r="BD116" s="451" t="s">
        <v>35</v>
      </c>
      <c r="BE116" s="81">
        <f t="shared" si="73"/>
        <v>0</v>
      </c>
      <c r="BF116" s="82" t="s">
        <v>40</v>
      </c>
      <c r="BG116" s="29">
        <f>BG106</f>
        <v>0</v>
      </c>
      <c r="BH116" s="12"/>
      <c r="BI116" s="30" t="s">
        <v>35</v>
      </c>
      <c r="BJ116" s="29">
        <f t="shared" si="74"/>
        <v>0</v>
      </c>
      <c r="BK116" s="30" t="s">
        <v>40</v>
      </c>
      <c r="BL116" s="29">
        <f>IF($A$176=$L$176,"限度超過",IF(BG116=0,0,BG116/$S$94))</f>
        <v>0</v>
      </c>
      <c r="BM116" s="12"/>
      <c r="BN116" s="30" t="s">
        <v>35</v>
      </c>
      <c r="BO116" s="29">
        <f t="shared" si="75"/>
        <v>0</v>
      </c>
      <c r="BP116" s="30" t="s">
        <v>40</v>
      </c>
      <c r="BQ116" s="29">
        <f>IF($A$176=$L$176,"限度超過",IF($S$94&lt;=1,0,BL116))</f>
        <v>0</v>
      </c>
      <c r="BR116" s="449"/>
      <c r="BS116" s="12"/>
      <c r="BT116" s="12"/>
      <c r="BU116" s="12"/>
      <c r="BV116" s="12"/>
      <c r="BW116" s="12"/>
      <c r="BX116" s="32" t="s">
        <v>17</v>
      </c>
      <c r="BY116" s="44">
        <v>0</v>
      </c>
      <c r="BZ116" s="45">
        <f>$CF$97</f>
        <v>6420</v>
      </c>
      <c r="CA116" s="45">
        <f>$CG$97</f>
        <v>4590</v>
      </c>
      <c r="CB116" s="45">
        <f>$CH$97</f>
        <v>1840</v>
      </c>
      <c r="CC116" s="713"/>
      <c r="CD116" s="4"/>
      <c r="CE116" s="4"/>
      <c r="CF116" s="4"/>
      <c r="CG116" s="4"/>
      <c r="CH116" s="4"/>
      <c r="CI116" s="13"/>
    </row>
    <row r="117" spans="1:87" ht="18" customHeight="1">
      <c r="A117" s="1421"/>
      <c r="B117" s="1448"/>
      <c r="C117" s="1376"/>
      <c r="D117" s="855"/>
      <c r="E117" s="1416"/>
      <c r="F117" s="1380"/>
      <c r="G117" s="855"/>
      <c r="H117" s="39">
        <v>100</v>
      </c>
      <c r="I117" s="1277"/>
      <c r="J117" s="855"/>
      <c r="K117" s="55">
        <v>12</v>
      </c>
      <c r="L117" s="12" t="s">
        <v>5</v>
      </c>
      <c r="M117" s="1380"/>
      <c r="N117" s="1407"/>
      <c r="O117" s="86"/>
      <c r="P117" s="1377"/>
      <c r="Q117" s="1377"/>
      <c r="R117" s="1403"/>
      <c r="S117" s="1381"/>
      <c r="T117" s="72" t="s">
        <v>29</v>
      </c>
      <c r="U117" s="105">
        <f>U115+U116</f>
        <v>0</v>
      </c>
      <c r="V117" s="88" t="s">
        <v>6</v>
      </c>
      <c r="W117" s="30" t="s">
        <v>36</v>
      </c>
      <c r="X117" s="29">
        <f t="shared" si="71"/>
        <v>0</v>
      </c>
      <c r="Y117" s="30" t="s">
        <v>41</v>
      </c>
      <c r="Z117" s="31">
        <f>IF($AH$13&gt;0,0,BB117)</f>
        <v>0</v>
      </c>
      <c r="AA117" s="26"/>
      <c r="AB117" s="26"/>
      <c r="AC117" s="494"/>
      <c r="AD117" s="26"/>
      <c r="AE117" s="489"/>
      <c r="AF117" s="1363"/>
      <c r="AG117" s="26"/>
      <c r="AH117" s="26"/>
      <c r="AI117" s="173"/>
      <c r="AJ117" s="173"/>
      <c r="AK117" s="173"/>
      <c r="AL117" s="173"/>
      <c r="AM117" s="173"/>
      <c r="AN117" s="173"/>
      <c r="AO117" s="126" t="s">
        <v>36</v>
      </c>
      <c r="AP117" s="347">
        <f>ROUND((AP28-AP206)*AQ114,0)</f>
        <v>0</v>
      </c>
      <c r="AQ117" s="354" t="s">
        <v>41</v>
      </c>
      <c r="AR117" s="348">
        <f>ROUND((AR28-AR206)*AQ114,0)</f>
        <v>0</v>
      </c>
      <c r="AS117" s="353"/>
      <c r="AT117" s="126" t="s">
        <v>36</v>
      </c>
      <c r="AU117" s="347">
        <f>IF(AV114=0,0,IF(AV114&gt;=8,1,IF(AV114&lt;=-8,-1,0)))</f>
        <v>0</v>
      </c>
      <c r="AV117" s="354" t="s">
        <v>41</v>
      </c>
      <c r="AW117" s="348">
        <f>IF(AV114=0,0,IF(AV114&gt;=2,1,IF(AV114&lt;=-2,-1,0)))</f>
        <v>0</v>
      </c>
      <c r="AX117" s="321"/>
      <c r="AY117" s="264" t="s">
        <v>36</v>
      </c>
      <c r="AZ117" s="375">
        <f t="shared" si="72"/>
        <v>0</v>
      </c>
      <c r="BA117" s="322" t="s">
        <v>41</v>
      </c>
      <c r="BB117" s="127">
        <f>IF($AG$2&gt;0,"限度超過",IF($A$176=$L$176,"限度超過",AR117+AW117))</f>
        <v>0</v>
      </c>
      <c r="BC117" s="321"/>
      <c r="BD117" s="451" t="s">
        <v>36</v>
      </c>
      <c r="BE117" s="81">
        <f t="shared" si="73"/>
        <v>0</v>
      </c>
      <c r="BF117" s="82" t="s">
        <v>41</v>
      </c>
      <c r="BG117" s="29">
        <f>BG107</f>
        <v>0</v>
      </c>
      <c r="BH117" s="12"/>
      <c r="BI117" s="30" t="s">
        <v>36</v>
      </c>
      <c r="BJ117" s="29">
        <f t="shared" si="74"/>
        <v>0</v>
      </c>
      <c r="BK117" s="30" t="s">
        <v>41</v>
      </c>
      <c r="BL117" s="29">
        <f>IF($A$176=$L$176,"限度超過",IF(BG117=0,0,BG117/$S$94))</f>
        <v>0</v>
      </c>
      <c r="BM117" s="12"/>
      <c r="BN117" s="30" t="s">
        <v>36</v>
      </c>
      <c r="BO117" s="29">
        <f t="shared" si="75"/>
        <v>0</v>
      </c>
      <c r="BP117" s="30" t="s">
        <v>41</v>
      </c>
      <c r="BQ117" s="29">
        <f>IF($A$176=$L$176,"限度超過",IF($S$94&lt;=1,0,BL117))</f>
        <v>0</v>
      </c>
      <c r="BR117" s="449"/>
      <c r="BS117" s="12"/>
      <c r="BT117" s="12"/>
      <c r="BU117" s="12"/>
      <c r="BV117" s="12"/>
      <c r="BW117" s="12"/>
      <c r="BX117" s="32" t="s">
        <v>8</v>
      </c>
      <c r="BY117" s="45">
        <f>K119</f>
        <v>0</v>
      </c>
      <c r="BZ117" s="45">
        <f t="shared" ref="BZ117:CB119" si="76">BY117</f>
        <v>0</v>
      </c>
      <c r="CA117" s="45">
        <f t="shared" si="76"/>
        <v>0</v>
      </c>
      <c r="CB117" s="45">
        <f t="shared" si="76"/>
        <v>0</v>
      </c>
      <c r="CC117" s="713">
        <f>CB117</f>
        <v>0</v>
      </c>
      <c r="CD117" s="4"/>
      <c r="CE117" s="4"/>
      <c r="CF117" s="4"/>
      <c r="CG117" s="4"/>
      <c r="CH117" s="4"/>
      <c r="CI117" s="13"/>
    </row>
    <row r="118" spans="1:87" ht="18" customHeight="1">
      <c r="A118" s="165"/>
      <c r="B118" s="12"/>
      <c r="C118" s="50"/>
      <c r="D118" s="12"/>
      <c r="E118" s="12"/>
      <c r="F118" s="12"/>
      <c r="G118" s="12"/>
      <c r="H118" s="91"/>
      <c r="I118" s="75"/>
      <c r="J118" s="75"/>
      <c r="K118" s="92"/>
      <c r="L118" s="75"/>
      <c r="M118" s="93"/>
      <c r="N118" s="714" t="str">
        <f>IF(入力画面!E17=1,"未就学児",0)</f>
        <v>未就学児</v>
      </c>
      <c r="O118" s="42">
        <f>IF(H119=0,0,$D$94)</f>
        <v>0</v>
      </c>
      <c r="P118" s="466">
        <f>IF(O119=0,0,"軽減額")</f>
        <v>0</v>
      </c>
      <c r="Q118" s="12"/>
      <c r="R118" s="95"/>
      <c r="S118" s="49"/>
      <c r="T118" s="96" t="s">
        <v>31</v>
      </c>
      <c r="U118" s="105">
        <f>ROUNDDOWN(U117,-2)</f>
        <v>0</v>
      </c>
      <c r="V118" s="88" t="s">
        <v>6</v>
      </c>
      <c r="W118" s="30" t="s">
        <v>43</v>
      </c>
      <c r="X118" s="29">
        <f t="shared" si="71"/>
        <v>0</v>
      </c>
      <c r="Y118" s="30" t="s">
        <v>42</v>
      </c>
      <c r="Z118" s="31">
        <f>IF($AH$13&gt;0,0,BB118)</f>
        <v>0</v>
      </c>
      <c r="AA118" s="4"/>
      <c r="AB118" s="4"/>
      <c r="AC118" s="492"/>
      <c r="AD118" s="4"/>
      <c r="AE118" s="500" t="str">
        <f>IF($AH$13&gt;0,"－",IF($AG$2&gt;0,"限度超過",IF(U119=Z119,"OK","ｱﾝﾏｯﾁ")))</f>
        <v>OK</v>
      </c>
      <c r="AF118" s="499"/>
      <c r="AG118" s="4"/>
      <c r="AI118" s="174"/>
      <c r="AJ118" s="174"/>
      <c r="AK118" s="174"/>
      <c r="AL118" s="174"/>
      <c r="AM118" s="174"/>
      <c r="AN118" s="173"/>
      <c r="AO118" s="126" t="s">
        <v>43</v>
      </c>
      <c r="AP118" s="347">
        <f>ROUND((AP29-AP207)*AQ114,0)</f>
        <v>0</v>
      </c>
      <c r="AQ118" s="354" t="s">
        <v>42</v>
      </c>
      <c r="AR118" s="348">
        <f>ROUND((AR29-AR207)*AQ114,0)</f>
        <v>0</v>
      </c>
      <c r="AS118" s="353"/>
      <c r="AT118" s="126" t="s">
        <v>43</v>
      </c>
      <c r="AU118" s="347">
        <f>IF(AV114=0,0,IF(AV114&gt;=7,1,IF(AV114&lt;=-7,-1,0)))</f>
        <v>0</v>
      </c>
      <c r="AV118" s="354" t="s">
        <v>42</v>
      </c>
      <c r="AW118" s="348">
        <f>IF(AV114=0,0,IF(AV114&gt;=1,1,IF(AV114&lt;=-1,-1,0)))</f>
        <v>0</v>
      </c>
      <c r="AX118" s="321"/>
      <c r="AY118" s="264" t="s">
        <v>43</v>
      </c>
      <c r="AZ118" s="375">
        <f t="shared" si="72"/>
        <v>0</v>
      </c>
      <c r="BA118" s="322" t="s">
        <v>42</v>
      </c>
      <c r="BB118" s="127">
        <f>IF($AG$2&gt;0,"限度超過",IF($A$176=$L$176,"限度超過",AR118+AW118))</f>
        <v>0</v>
      </c>
      <c r="BC118" s="321"/>
      <c r="BD118" s="451" t="s">
        <v>43</v>
      </c>
      <c r="BE118" s="81">
        <f t="shared" si="73"/>
        <v>0</v>
      </c>
      <c r="BF118" s="82" t="s">
        <v>42</v>
      </c>
      <c r="BG118" s="29">
        <f>BG108</f>
        <v>0</v>
      </c>
      <c r="BH118" s="12"/>
      <c r="BI118" s="30" t="s">
        <v>43</v>
      </c>
      <c r="BJ118" s="29">
        <f t="shared" si="74"/>
        <v>0</v>
      </c>
      <c r="BK118" s="30" t="s">
        <v>42</v>
      </c>
      <c r="BL118" s="29">
        <f>IF($A$176=$L$176,"限度超過",IF(BG118=0,0,BG118/$S$94))</f>
        <v>0</v>
      </c>
      <c r="BM118" s="12"/>
      <c r="BN118" s="30" t="s">
        <v>43</v>
      </c>
      <c r="BO118" s="29">
        <f t="shared" si="75"/>
        <v>0</v>
      </c>
      <c r="BP118" s="30" t="s">
        <v>42</v>
      </c>
      <c r="BQ118" s="29">
        <f>IF($A$176=$L$176,"限度超過",IF($S$94&lt;=1,0,BL118))</f>
        <v>0</v>
      </c>
      <c r="BR118" s="449"/>
      <c r="BS118" s="12"/>
      <c r="BT118" s="12"/>
      <c r="BU118" s="12"/>
      <c r="BV118" s="12"/>
      <c r="BW118" s="12"/>
      <c r="BX118" s="32" t="s">
        <v>25</v>
      </c>
      <c r="BY118" s="45">
        <f>K120</f>
        <v>0</v>
      </c>
      <c r="BZ118" s="45">
        <f t="shared" si="76"/>
        <v>0</v>
      </c>
      <c r="CA118" s="45">
        <f t="shared" si="76"/>
        <v>0</v>
      </c>
      <c r="CB118" s="45">
        <f t="shared" si="76"/>
        <v>0</v>
      </c>
      <c r="CC118" s="713">
        <f>CB118</f>
        <v>0</v>
      </c>
      <c r="CD118" s="4"/>
      <c r="CE118" s="4"/>
      <c r="CF118" s="4"/>
      <c r="CG118" s="4"/>
      <c r="CH118" s="4"/>
      <c r="CI118" s="13"/>
    </row>
    <row r="119" spans="1:87" ht="18" customHeight="1">
      <c r="A119" s="1421" t="s">
        <v>10</v>
      </c>
      <c r="B119" s="12"/>
      <c r="C119" s="12"/>
      <c r="D119" s="1419" t="s">
        <v>7</v>
      </c>
      <c r="E119" s="1416">
        <f>IF(H119&gt;0,$CE$97,0)</f>
        <v>0</v>
      </c>
      <c r="F119" s="97"/>
      <c r="G119" s="855" t="s">
        <v>59</v>
      </c>
      <c r="H119" s="1413">
        <f>IF(B114=0,0,SUBTOTAL(3,B114))</f>
        <v>0</v>
      </c>
      <c r="I119" s="1277" t="s">
        <v>22</v>
      </c>
      <c r="J119" s="855" t="s">
        <v>59</v>
      </c>
      <c r="K119" s="51">
        <f>IF(H119&gt;0,K116,0)</f>
        <v>0</v>
      </c>
      <c r="L119" s="52" t="s">
        <v>5</v>
      </c>
      <c r="M119" s="1407" t="s">
        <v>122</v>
      </c>
      <c r="N119" s="1402">
        <f>IF(O119=0,0,"―")</f>
        <v>0</v>
      </c>
      <c r="O119" s="1404">
        <f>IF(H119=0,0,IF(BY121=0,IF($D$94=7,BZ120,IF($D$94=5,CA120,IF($D$94=2,CB120,CC120))),IF($D$94=7,BZ120+BZ121,IF($D$94=5,CA120+CA121,IF($D$94=2,CB120+CB121,CC120+CC121)))))</f>
        <v>0</v>
      </c>
      <c r="P119" s="1405"/>
      <c r="Q119" s="1377" t="s">
        <v>130</v>
      </c>
      <c r="R119" s="1403">
        <f>IF(H119&gt;0,IF(K116=0,0,ROUNDDOWN(((E119*H119)*K119/K120)-O119,0)),0)</f>
        <v>0</v>
      </c>
      <c r="S119" s="1381" t="s">
        <v>6</v>
      </c>
      <c r="T119" s="1207" t="s">
        <v>32</v>
      </c>
      <c r="U119" s="1458">
        <f>IF($L$176=$A$176,"限度超過!",U117)</f>
        <v>0</v>
      </c>
      <c r="V119" s="1470" t="s">
        <v>6</v>
      </c>
      <c r="W119" s="30" t="s">
        <v>37</v>
      </c>
      <c r="X119" s="29">
        <f t="shared" si="71"/>
        <v>0</v>
      </c>
      <c r="Y119" s="1199" t="s">
        <v>44</v>
      </c>
      <c r="Z119" s="1394">
        <f>IF($AH$13&gt;0,0,BB119)</f>
        <v>0</v>
      </c>
      <c r="AB119" s="4"/>
      <c r="AC119" s="492"/>
      <c r="AD119" s="4"/>
      <c r="AE119" s="500" t="str">
        <f>IF($AG$2&gt;0,"限度超過",IF(X115+X116+X117+X118+X119+X120+Z115+Z116+Z117+Z118=Z119,"OK","エラー"))</f>
        <v>OK</v>
      </c>
      <c r="AF119" s="1362">
        <f>IF(H119&gt;0,IF(K116=0,0,ROUNDDOWN((E119*H119)-O119,0)),0)</f>
        <v>0</v>
      </c>
      <c r="AG119" s="4"/>
      <c r="AI119" s="174"/>
      <c r="AJ119" s="174"/>
      <c r="AK119" s="174"/>
      <c r="AL119" s="174"/>
      <c r="AM119" s="174"/>
      <c r="AN119" s="173"/>
      <c r="AO119" s="126" t="s">
        <v>37</v>
      </c>
      <c r="AP119" s="347">
        <f>ROUND((AP30-AP208)*AQ114,0)</f>
        <v>0</v>
      </c>
      <c r="AQ119" s="355" t="s">
        <v>44</v>
      </c>
      <c r="AR119" s="349">
        <f>AP115+AP116+AP117+AP118+AP119+AP120+AR115+AR116+AR117+AR118</f>
        <v>0</v>
      </c>
      <c r="AS119" s="353"/>
      <c r="AT119" s="126" t="s">
        <v>37</v>
      </c>
      <c r="AU119" s="347">
        <f>IF(AV114=0,0,IF(AV114&gt;=6,1,IF(AV114&lt;=-6,-1,0)))</f>
        <v>0</v>
      </c>
      <c r="AV119" s="355" t="s">
        <v>44</v>
      </c>
      <c r="AW119" s="356">
        <f>AU115+AU116+AU117+AU118+AU119+AU120+AW115+AW116+AW117+AW118</f>
        <v>0</v>
      </c>
      <c r="AX119" s="321"/>
      <c r="AY119" s="264" t="s">
        <v>37</v>
      </c>
      <c r="AZ119" s="375">
        <f t="shared" si="72"/>
        <v>0</v>
      </c>
      <c r="BA119" s="323" t="s">
        <v>44</v>
      </c>
      <c r="BB119" s="420">
        <f>IF($AG$2&gt;0,"限度超過",AZ115+AZ116+AZ117+AZ118+AZ119+AZ120+BB115+BB116+BB117+BB118)</f>
        <v>0</v>
      </c>
      <c r="BC119" s="321"/>
      <c r="BD119" s="451" t="s">
        <v>37</v>
      </c>
      <c r="BE119" s="81">
        <f t="shared" si="73"/>
        <v>0</v>
      </c>
      <c r="BF119" s="443" t="s">
        <v>44</v>
      </c>
      <c r="BG119" s="29">
        <f>IF($A$176=$L$176,"限度超過",BE115+BE116+BE117+BE118+BE119+BE120+BG115+BG116+BG117+BG118)</f>
        <v>0</v>
      </c>
      <c r="BH119" s="12"/>
      <c r="BI119" s="30" t="s">
        <v>37</v>
      </c>
      <c r="BJ119" s="29">
        <f t="shared" si="74"/>
        <v>0</v>
      </c>
      <c r="BK119" s="98" t="s">
        <v>44</v>
      </c>
      <c r="BL119" s="29">
        <f>IF($A$176=$L$176,"限度超過",BJ115+BJ116+BJ117+BJ118+BJ119+BJ120+BL115+BL116+BL117+BL118)</f>
        <v>0</v>
      </c>
      <c r="BM119" s="12"/>
      <c r="BN119" s="30" t="s">
        <v>37</v>
      </c>
      <c r="BO119" s="29">
        <f t="shared" si="75"/>
        <v>0</v>
      </c>
      <c r="BP119" s="98" t="s">
        <v>44</v>
      </c>
      <c r="BQ119" s="29">
        <f>IF($A$176=$L$176,"限度超過",BO115+BO116+BO117+BO118+BO119+BO120+BQ115+BQ116+BQ117+BQ118)</f>
        <v>0</v>
      </c>
      <c r="BR119" s="449"/>
      <c r="BS119" s="12"/>
      <c r="BT119" s="12"/>
      <c r="BU119" s="12"/>
      <c r="BV119" s="12"/>
      <c r="BW119" s="12"/>
      <c r="BX119" s="32" t="s">
        <v>26</v>
      </c>
      <c r="BY119" s="26">
        <f>H119</f>
        <v>0</v>
      </c>
      <c r="BZ119" s="99">
        <f t="shared" si="76"/>
        <v>0</v>
      </c>
      <c r="CA119" s="99">
        <f t="shared" si="76"/>
        <v>0</v>
      </c>
      <c r="CB119" s="99">
        <f t="shared" si="76"/>
        <v>0</v>
      </c>
      <c r="CC119" s="713">
        <f>CB119</f>
        <v>0</v>
      </c>
      <c r="CD119" s="4"/>
      <c r="CE119" s="4"/>
      <c r="CF119" s="4"/>
      <c r="CG119" s="4"/>
      <c r="CH119" s="4"/>
      <c r="CI119" s="13"/>
    </row>
    <row r="120" spans="1:87" ht="18" customHeight="1">
      <c r="A120" s="1421"/>
      <c r="B120" s="12"/>
      <c r="C120" s="12"/>
      <c r="D120" s="1419"/>
      <c r="E120" s="1416"/>
      <c r="F120" s="12"/>
      <c r="G120" s="855"/>
      <c r="H120" s="1413"/>
      <c r="I120" s="1277"/>
      <c r="J120" s="855"/>
      <c r="K120" s="180">
        <f>IF(H119&gt;0,K117,0)</f>
        <v>0</v>
      </c>
      <c r="L120" s="12" t="s">
        <v>5</v>
      </c>
      <c r="M120" s="1407"/>
      <c r="N120" s="1402"/>
      <c r="O120" s="1405"/>
      <c r="P120" s="1405"/>
      <c r="Q120" s="1377"/>
      <c r="R120" s="1403"/>
      <c r="S120" s="1381"/>
      <c r="T120" s="1411"/>
      <c r="U120" s="1459"/>
      <c r="V120" s="1471"/>
      <c r="W120" s="30" t="s">
        <v>38</v>
      </c>
      <c r="X120" s="29">
        <f t="shared" si="71"/>
        <v>0</v>
      </c>
      <c r="Y120" s="1368"/>
      <c r="Z120" s="1395"/>
      <c r="AA120" s="73"/>
      <c r="AB120" s="73"/>
      <c r="AC120" s="225"/>
      <c r="AD120" s="73"/>
      <c r="AE120" s="73"/>
      <c r="AF120" s="1363"/>
      <c r="AG120" s="73"/>
      <c r="AH120" s="191"/>
      <c r="AI120" s="175"/>
      <c r="AJ120" s="175"/>
      <c r="AK120" s="175"/>
      <c r="AL120" s="175"/>
      <c r="AM120" s="175"/>
      <c r="AN120" s="174"/>
      <c r="AO120" s="126" t="s">
        <v>38</v>
      </c>
      <c r="AP120" s="347">
        <f>ROUND((AP31-AP209)*AQ114,0)</f>
        <v>0</v>
      </c>
      <c r="AQ120" s="354" t="s">
        <v>75</v>
      </c>
      <c r="AR120" s="333">
        <f>IF($AG$2&gt;0,"限度超過",U119)</f>
        <v>0</v>
      </c>
      <c r="AS120" s="350"/>
      <c r="AT120" s="126" t="s">
        <v>38</v>
      </c>
      <c r="AU120" s="347">
        <f>IF(AV114=0,0,IF(AV114&gt;=5,1,IF(AV114&lt;=-5,-1,0)))</f>
        <v>0</v>
      </c>
      <c r="AV120" s="354"/>
      <c r="AW120" s="357" t="str">
        <f>IF(AU115+AU116+AU117+AU118+AU119+AU120+AW115+AW116+AW117+AW118=AV114,"計算ＯＫ","エラー発生")</f>
        <v>計算ＯＫ</v>
      </c>
      <c r="AX120" s="321"/>
      <c r="AY120" s="264" t="s">
        <v>38</v>
      </c>
      <c r="AZ120" s="375">
        <f t="shared" si="72"/>
        <v>0</v>
      </c>
      <c r="BA120" s="322"/>
      <c r="BB120" s="421">
        <f>IF($AG$2&gt;0,"限度超過",IF($A$176=$L$176,"限度超過",$U$109))</f>
        <v>4100</v>
      </c>
      <c r="BC120" s="321"/>
      <c r="BD120" s="451" t="s">
        <v>38</v>
      </c>
      <c r="BE120" s="81">
        <f t="shared" si="73"/>
        <v>0</v>
      </c>
      <c r="BF120" s="82"/>
      <c r="BG120" s="100"/>
      <c r="BH120" s="12"/>
      <c r="BI120" s="30" t="s">
        <v>38</v>
      </c>
      <c r="BJ120" s="29">
        <f t="shared" si="74"/>
        <v>0</v>
      </c>
      <c r="BK120" s="30"/>
      <c r="BL120" s="100"/>
      <c r="BM120" s="12"/>
      <c r="BN120" s="30" t="s">
        <v>38</v>
      </c>
      <c r="BO120" s="29">
        <f t="shared" si="75"/>
        <v>0</v>
      </c>
      <c r="BP120" s="30"/>
      <c r="BQ120" s="100"/>
      <c r="BR120" s="449"/>
      <c r="BS120" s="12"/>
      <c r="BT120" s="12"/>
      <c r="BU120" s="12"/>
      <c r="BV120" s="12"/>
      <c r="BW120" s="12"/>
      <c r="BX120" s="67" t="s">
        <v>27</v>
      </c>
      <c r="BY120" s="45">
        <f>IF(BY119&gt;0,ROUNDDOWN(BY116*BY119*BY117/BY118,0),0)</f>
        <v>0</v>
      </c>
      <c r="BZ120" s="45">
        <f>IF(BZ119&gt;0,ROUNDDOWN(BZ116*BZ119*BZ117/BZ118,0),0)</f>
        <v>0</v>
      </c>
      <c r="CA120" s="45">
        <f>IF(CA119&gt;0,ROUNDDOWN(CA116*CA119*CA117/CA118,0),0)</f>
        <v>0</v>
      </c>
      <c r="CB120" s="45">
        <f>IF(CB119&gt;0,ROUNDDOWN(CB116*CB119*CB117/CB118,0),0)</f>
        <v>0</v>
      </c>
      <c r="CC120" s="713">
        <v>0</v>
      </c>
      <c r="CD120" s="4"/>
      <c r="CE120" s="4"/>
      <c r="CF120" s="4"/>
      <c r="CG120" s="4"/>
      <c r="CH120" s="4"/>
      <c r="CI120" s="13"/>
    </row>
    <row r="121" spans="1:87" ht="18" customHeight="1">
      <c r="A121" s="202"/>
      <c r="B121" s="75" t="s">
        <v>118</v>
      </c>
      <c r="C121" s="12"/>
      <c r="D121" s="160"/>
      <c r="E121" s="161"/>
      <c r="F121" s="12"/>
      <c r="G121" s="50"/>
      <c r="H121" s="162"/>
      <c r="I121" s="159"/>
      <c r="J121" s="50"/>
      <c r="K121" s="180"/>
      <c r="L121" s="12"/>
      <c r="M121" s="86"/>
      <c r="N121" s="86"/>
      <c r="O121" s="181"/>
      <c r="P121" s="181"/>
      <c r="Q121" s="156"/>
      <c r="R121" s="157"/>
      <c r="S121" s="49"/>
      <c r="T121" s="50"/>
      <c r="U121" s="182"/>
      <c r="V121" s="50"/>
      <c r="W121" s="4"/>
      <c r="X121" s="26"/>
      <c r="Y121" s="170"/>
      <c r="Z121" s="187"/>
      <c r="AA121" s="26"/>
      <c r="AB121" s="26"/>
      <c r="AC121" s="494"/>
      <c r="AD121" s="26"/>
      <c r="AE121" s="489"/>
      <c r="AF121" s="236"/>
      <c r="AG121" s="26"/>
      <c r="AH121" s="26"/>
      <c r="AI121" s="173"/>
      <c r="AJ121" s="179"/>
      <c r="AK121" s="179"/>
      <c r="AL121" s="179"/>
      <c r="AM121" s="179"/>
      <c r="AN121" s="174"/>
      <c r="AO121" s="351"/>
      <c r="AP121" s="351"/>
      <c r="AQ121" s="352"/>
      <c r="AR121" s="352"/>
      <c r="AS121" s="350"/>
      <c r="AT121" s="350"/>
      <c r="AU121" s="350"/>
      <c r="AV121" s="350"/>
      <c r="AW121" s="350"/>
      <c r="AX121" s="321"/>
      <c r="AY121" s="422"/>
      <c r="AZ121" s="351"/>
      <c r="BA121" s="352"/>
      <c r="BB121" s="467" t="str">
        <f>IF(BB119=BB120,"OK","エラー")</f>
        <v>エラー</v>
      </c>
      <c r="BC121" s="321"/>
      <c r="BD121" s="452"/>
      <c r="BF121" s="4" t="s">
        <v>260</v>
      </c>
      <c r="BH121" s="12"/>
      <c r="BM121" s="12"/>
      <c r="BR121" s="449"/>
      <c r="BS121" s="12"/>
      <c r="BT121" s="12"/>
      <c r="BU121" s="12"/>
      <c r="BV121" s="12"/>
      <c r="BW121" s="12"/>
      <c r="BX121" s="32" t="s">
        <v>468</v>
      </c>
      <c r="BY121" s="713">
        <f>IF(入力画面!E17=1,1,0)</f>
        <v>1</v>
      </c>
      <c r="BZ121" s="713" t="e">
        <f>IF($BY$121=1,ROUNDDOWN($CF$101*BZ117/BZ118,0),0)</f>
        <v>#DIV/0!</v>
      </c>
      <c r="CA121" s="713" t="e">
        <f>IF($BY$121=1,ROUNDDOWN($CG$101*CA117/CA118,0),0)</f>
        <v>#DIV/0!</v>
      </c>
      <c r="CB121" s="713" t="e">
        <f>IF($BY$121=1,ROUNDDOWN($CH$101*CB117/CB118,0),0)</f>
        <v>#DIV/0!</v>
      </c>
      <c r="CC121" s="713" t="e">
        <f>IF($BY$121=1,ROUNDDOWN($CE$101*CC117/CC118,0),0)</f>
        <v>#DIV/0!</v>
      </c>
      <c r="CD121" s="4"/>
      <c r="CE121" s="4"/>
      <c r="CF121" s="4"/>
      <c r="CG121" s="4"/>
      <c r="CH121" s="4"/>
      <c r="CI121" s="13"/>
    </row>
    <row r="122" spans="1:87" ht="18" customHeight="1">
      <c r="A122" s="58" t="s">
        <v>1</v>
      </c>
      <c r="B122" s="52"/>
      <c r="C122" s="189">
        <f>IF(H119&gt;0,$X$102,0)</f>
        <v>0</v>
      </c>
      <c r="D122" s="203" t="s">
        <v>6</v>
      </c>
      <c r="E122" s="60" t="s">
        <v>131</v>
      </c>
      <c r="F122" s="1204">
        <f>K116</f>
        <v>0</v>
      </c>
      <c r="G122" s="1204"/>
      <c r="H122" s="216" t="s">
        <v>5</v>
      </c>
      <c r="I122" s="1451" t="s">
        <v>14</v>
      </c>
      <c r="J122" s="1451"/>
      <c r="K122" s="1204">
        <f>C122*F122</f>
        <v>0</v>
      </c>
      <c r="L122" s="1204"/>
      <c r="M122" s="204" t="s">
        <v>6</v>
      </c>
      <c r="N122" s="204"/>
      <c r="O122" s="205"/>
      <c r="P122" s="205"/>
      <c r="Q122" s="63"/>
      <c r="R122" s="206"/>
      <c r="S122" s="59"/>
      <c r="T122" s="27"/>
      <c r="U122" s="207"/>
      <c r="V122" s="27"/>
      <c r="W122" s="188"/>
      <c r="X122" s="189"/>
      <c r="Y122" s="208"/>
      <c r="Z122" s="163"/>
      <c r="AA122" s="26"/>
      <c r="AB122" s="26"/>
      <c r="AC122" s="494"/>
      <c r="AD122" s="26"/>
      <c r="AE122" s="489"/>
      <c r="AF122" s="237"/>
      <c r="AG122" s="26"/>
      <c r="AH122" s="26"/>
      <c r="AI122" s="173"/>
      <c r="AJ122" s="179"/>
      <c r="AK122" s="179"/>
      <c r="AL122" s="179"/>
      <c r="AM122" s="179"/>
      <c r="AN122" s="175"/>
      <c r="AO122" s="1298" t="s">
        <v>235</v>
      </c>
      <c r="AP122" s="1298"/>
      <c r="AQ122" s="1298"/>
      <c r="AR122" s="1298"/>
      <c r="AS122" s="350"/>
      <c r="AT122" s="1295" t="s">
        <v>229</v>
      </c>
      <c r="AU122" s="1295"/>
      <c r="AV122" s="350"/>
      <c r="AW122" s="350"/>
      <c r="AX122" s="321"/>
      <c r="AY122" s="1294" t="s">
        <v>229</v>
      </c>
      <c r="AZ122" s="1295"/>
      <c r="BA122" s="352"/>
      <c r="BB122" s="424"/>
      <c r="BC122" s="321"/>
      <c r="BD122" s="1302" t="s">
        <v>229</v>
      </c>
      <c r="BE122" s="1303"/>
      <c r="BF122" s="4" t="s">
        <v>261</v>
      </c>
      <c r="BH122" s="12"/>
      <c r="BI122" s="1303" t="s">
        <v>229</v>
      </c>
      <c r="BJ122" s="1303"/>
      <c r="BM122" s="12"/>
      <c r="BN122" s="1303" t="s">
        <v>229</v>
      </c>
      <c r="BO122" s="1303"/>
      <c r="BR122" s="449"/>
      <c r="BS122" s="12"/>
      <c r="BT122" s="12"/>
      <c r="BU122" s="12"/>
      <c r="BV122" s="12"/>
      <c r="BW122" s="12"/>
      <c r="BX122" s="4"/>
      <c r="BY122" s="26"/>
      <c r="BZ122" s="26"/>
      <c r="CA122" s="26"/>
      <c r="CB122" s="26"/>
      <c r="CC122" s="4"/>
      <c r="CD122" s="4"/>
      <c r="CE122" s="4"/>
      <c r="CF122" s="4"/>
      <c r="CG122" s="4"/>
      <c r="CH122" s="4"/>
      <c r="CI122" s="13"/>
    </row>
    <row r="123" spans="1:87" ht="18" customHeight="1">
      <c r="D123" s="101"/>
      <c r="E123" s="70"/>
      <c r="G123" s="9"/>
      <c r="H123" s="102"/>
      <c r="I123" s="5"/>
      <c r="J123" s="9"/>
      <c r="K123" s="18"/>
      <c r="M123" s="103"/>
      <c r="P123" s="103"/>
      <c r="Q123" s="70"/>
      <c r="R123" s="104"/>
      <c r="S123" s="68"/>
      <c r="T123" s="68"/>
      <c r="U123" s="68"/>
      <c r="V123" s="18"/>
      <c r="AA123" s="26"/>
      <c r="AB123" s="26"/>
      <c r="AC123" s="494"/>
      <c r="AD123" s="26"/>
      <c r="AE123" s="489"/>
      <c r="AF123" s="233"/>
      <c r="AG123" s="26"/>
      <c r="AH123" s="26"/>
      <c r="AI123" s="173"/>
      <c r="AJ123" s="173"/>
      <c r="AK123" s="173"/>
      <c r="AL123" s="173"/>
      <c r="AM123" s="173"/>
      <c r="AN123" s="173"/>
      <c r="AO123" s="370" t="s">
        <v>219</v>
      </c>
      <c r="AP123" s="1283" t="s">
        <v>234</v>
      </c>
      <c r="AQ123" s="1283"/>
      <c r="AR123" s="1283"/>
      <c r="AS123" s="372"/>
      <c r="AT123" s="1321" t="s">
        <v>220</v>
      </c>
      <c r="AU123" s="1321"/>
      <c r="AV123" s="1321"/>
      <c r="AW123" s="1321"/>
      <c r="AX123" s="321"/>
      <c r="AY123" s="419" t="s">
        <v>226</v>
      </c>
      <c r="AZ123" s="1290" t="s">
        <v>225</v>
      </c>
      <c r="BA123" s="1290"/>
      <c r="BB123" s="1291"/>
      <c r="BC123" s="321"/>
      <c r="BD123" s="1267" t="s">
        <v>264</v>
      </c>
      <c r="BE123" s="1268"/>
      <c r="BF123" s="1268"/>
      <c r="BG123" s="1268"/>
      <c r="BH123" s="12"/>
      <c r="BI123" s="440" t="s">
        <v>265</v>
      </c>
      <c r="BJ123" s="1269" t="s">
        <v>263</v>
      </c>
      <c r="BK123" s="1269"/>
      <c r="BL123" s="1269"/>
      <c r="BM123" s="12"/>
      <c r="BN123" s="12"/>
      <c r="BO123" s="143" t="s">
        <v>266</v>
      </c>
      <c r="BP123" s="12" t="s">
        <v>88</v>
      </c>
      <c r="BQ123" s="12"/>
      <c r="BR123" s="449"/>
      <c r="BS123" s="12"/>
      <c r="BT123" s="12"/>
      <c r="BU123" s="12"/>
      <c r="BV123" s="12"/>
      <c r="BW123" s="12"/>
      <c r="BX123" s="4"/>
      <c r="BY123" s="4"/>
      <c r="BZ123" s="4"/>
      <c r="CA123" s="4"/>
      <c r="CB123" s="4"/>
      <c r="CC123" s="4"/>
      <c r="CD123" s="4"/>
      <c r="CE123" s="4"/>
      <c r="CF123" s="4"/>
      <c r="CG123" s="4"/>
      <c r="CH123" s="4"/>
      <c r="CI123" s="13"/>
    </row>
    <row r="124" spans="1:87" ht="18" customHeight="1">
      <c r="A124" s="196" t="s">
        <v>53</v>
      </c>
      <c r="B124" s="1382">
        <f>B35</f>
        <v>0</v>
      </c>
      <c r="C124" s="1382"/>
      <c r="D124" s="1382"/>
      <c r="E124" s="198" t="s">
        <v>11</v>
      </c>
      <c r="F124" s="1412" t="s">
        <v>57</v>
      </c>
      <c r="G124" s="1412"/>
      <c r="H124" s="1469"/>
      <c r="I124" s="1449">
        <f>IF(I35=1,1,0)</f>
        <v>0</v>
      </c>
      <c r="J124" s="1450"/>
      <c r="K124" s="1373">
        <f>IF(H129=0,0,IF(K117=0, "加入月が未入力です!！",IF($L$176=$A$176,"限度超過額に達しているため計算不可能!!",IF(U126-U125=U127,"エラー名前を入力されているが加入月未入力!！",IF(H129&gt;K126,"加入月未入力エラー!！",0)))))</f>
        <v>0</v>
      </c>
      <c r="L124" s="1374"/>
      <c r="M124" s="1374"/>
      <c r="N124" s="1374"/>
      <c r="O124" s="1374"/>
      <c r="P124" s="1374"/>
      <c r="Q124" s="1374"/>
      <c r="R124" s="1374"/>
      <c r="S124" s="1375"/>
      <c r="T124" s="197" t="s">
        <v>47</v>
      </c>
      <c r="U124" s="1383">
        <f>IF(U129&gt;0,"支援分",0)</f>
        <v>0</v>
      </c>
      <c r="V124" s="1384"/>
      <c r="W124" s="1385" t="s">
        <v>46</v>
      </c>
      <c r="X124" s="1164"/>
      <c r="Y124" s="1164"/>
      <c r="Z124" s="1165"/>
      <c r="AA124" s="26"/>
      <c r="AB124" s="26"/>
      <c r="AC124" s="494"/>
      <c r="AD124" s="26"/>
      <c r="AE124" s="489"/>
      <c r="AF124" s="238" t="s">
        <v>117</v>
      </c>
      <c r="AG124" s="26"/>
      <c r="AH124" s="276">
        <f>IF(K126=0,0,IF(K126&lt;12,1,0))</f>
        <v>0</v>
      </c>
      <c r="AI124" s="173"/>
      <c r="AJ124" s="173"/>
      <c r="AK124" s="173"/>
      <c r="AL124" s="173"/>
      <c r="AM124" s="173"/>
      <c r="AN124" s="369" t="s">
        <v>146</v>
      </c>
      <c r="AO124" s="1205" t="s">
        <v>222</v>
      </c>
      <c r="AP124" s="1280"/>
      <c r="AQ124" s="1326">
        <f>IF(AR40=0,0,ROUNDDOWN(AR130/(AW41+AR130),8))</f>
        <v>0</v>
      </c>
      <c r="AR124" s="1327"/>
      <c r="AS124" s="373"/>
      <c r="AT124" s="1205" t="s">
        <v>215</v>
      </c>
      <c r="AU124" s="1280"/>
      <c r="AV124" s="1296">
        <f>IF($AG$2&gt;0,0,AR130-AR129)</f>
        <v>0</v>
      </c>
      <c r="AW124" s="1297"/>
      <c r="AX124" s="321"/>
      <c r="AY124" s="1279" t="s">
        <v>46</v>
      </c>
      <c r="AZ124" s="1280"/>
      <c r="BA124" s="1292">
        <f>IF(R126+R129=0,0,IF(K127&gt;K126,"期割がアンマッチ使用禁止↓",0))</f>
        <v>0</v>
      </c>
      <c r="BB124" s="1293"/>
      <c r="BC124" s="321"/>
      <c r="BD124" s="1272" t="s">
        <v>46</v>
      </c>
      <c r="BE124" s="1273"/>
      <c r="BF124" s="1304" t="s">
        <v>87</v>
      </c>
      <c r="BG124" s="1305"/>
      <c r="BH124" s="12"/>
      <c r="BI124" s="1139" t="s">
        <v>89</v>
      </c>
      <c r="BJ124" s="1273"/>
      <c r="BK124" s="441"/>
      <c r="BL124" s="442"/>
      <c r="BM124" s="12"/>
      <c r="BN124" s="1139" t="s">
        <v>46</v>
      </c>
      <c r="BO124" s="1273"/>
      <c r="BP124" s="1270"/>
      <c r="BQ124" s="1271"/>
      <c r="BR124" s="449"/>
      <c r="BS124" s="12"/>
      <c r="BT124" s="12"/>
      <c r="BU124" s="12"/>
      <c r="BV124" s="12"/>
      <c r="BW124" s="12"/>
      <c r="BX124" s="4"/>
      <c r="BY124" s="4"/>
      <c r="BZ124" s="4"/>
      <c r="CA124" s="4"/>
      <c r="CB124" s="4"/>
      <c r="CC124" s="4"/>
      <c r="CD124" s="4"/>
      <c r="CE124" s="4"/>
      <c r="CF124" s="4"/>
      <c r="CG124" s="4"/>
      <c r="CH124" s="4"/>
      <c r="CI124" s="13"/>
    </row>
    <row r="125" spans="1:87" ht="18" customHeight="1">
      <c r="A125" s="165"/>
      <c r="B125" s="12"/>
      <c r="C125" s="75" t="s">
        <v>33</v>
      </c>
      <c r="D125" s="12"/>
      <c r="E125" s="12"/>
      <c r="F125" s="12"/>
      <c r="G125" s="12"/>
      <c r="H125" s="50"/>
      <c r="I125" s="93"/>
      <c r="J125" s="12"/>
      <c r="K125" s="76" t="s">
        <v>9</v>
      </c>
      <c r="L125" s="12"/>
      <c r="M125" s="1414"/>
      <c r="N125" s="1414"/>
      <c r="O125" s="1414"/>
      <c r="P125" s="1414"/>
      <c r="Q125" s="1414"/>
      <c r="R125" s="1414"/>
      <c r="S125" s="1415"/>
      <c r="T125" s="72" t="s">
        <v>30</v>
      </c>
      <c r="U125" s="105">
        <f>R126+R129</f>
        <v>0</v>
      </c>
      <c r="V125" s="88" t="s">
        <v>6</v>
      </c>
      <c r="W125" s="80" t="s">
        <v>34</v>
      </c>
      <c r="X125" s="29">
        <f t="shared" ref="X125:X130" si="77">IF($AH$13&gt;0,0,AZ125)</f>
        <v>0</v>
      </c>
      <c r="Y125" s="80" t="s">
        <v>39</v>
      </c>
      <c r="Z125" s="31">
        <f>IF($AH$13&gt;0,0,BB125)</f>
        <v>0</v>
      </c>
      <c r="AA125" s="26"/>
      <c r="AB125" s="26"/>
      <c r="AC125" s="494"/>
      <c r="AD125" s="26"/>
      <c r="AE125" s="489"/>
      <c r="AF125" s="219">
        <f>AF126+AF129+AF132</f>
        <v>0</v>
      </c>
      <c r="AG125" s="26"/>
      <c r="AH125" s="26"/>
      <c r="AI125" s="173"/>
      <c r="AJ125" s="173"/>
      <c r="AK125" s="173"/>
      <c r="AL125" s="173"/>
      <c r="AM125" s="173"/>
      <c r="AN125" s="173"/>
      <c r="AO125" s="126" t="s">
        <v>34</v>
      </c>
      <c r="AP125" s="347">
        <f>ROUND((AP36-AP214)*AQ124,0)</f>
        <v>0</v>
      </c>
      <c r="AQ125" s="354" t="s">
        <v>39</v>
      </c>
      <c r="AR125" s="348">
        <f>ROUND((AR36-AR214)*AQ124,0)</f>
        <v>0</v>
      </c>
      <c r="AS125" s="374"/>
      <c r="AT125" s="126" t="s">
        <v>34</v>
      </c>
      <c r="AU125" s="347">
        <f>IF(AV124=0,0,IF(AV124&gt;=10,1,IF(AV124&lt;=-10,-1,0)))</f>
        <v>0</v>
      </c>
      <c r="AV125" s="354" t="s">
        <v>39</v>
      </c>
      <c r="AW125" s="348">
        <f>IF(AV124=0,0,IF(AV124&gt;=4,1,IF(AV124&lt;=-4,-1,0)))</f>
        <v>0</v>
      </c>
      <c r="AX125" s="321"/>
      <c r="AY125" s="260" t="s">
        <v>34</v>
      </c>
      <c r="AZ125" s="375">
        <f t="shared" ref="AZ125:AZ130" si="78">IF($AG$2&gt;0,"限度超過",IF($A$176=$L$176,"限度超過",AP125+AU125))</f>
        <v>0</v>
      </c>
      <c r="BA125" s="322" t="s">
        <v>39</v>
      </c>
      <c r="BB125" s="127">
        <f>IF($AG$2&gt;0,"限度超過",IF($A$176=$L$176,"限度超過",AR125+AW125))</f>
        <v>0</v>
      </c>
      <c r="BC125" s="321"/>
      <c r="BD125" s="451" t="s">
        <v>34</v>
      </c>
      <c r="BE125" s="81">
        <f t="shared" ref="BE125:BE130" si="79">BE115</f>
        <v>0</v>
      </c>
      <c r="BF125" s="82" t="s">
        <v>39</v>
      </c>
      <c r="BG125" s="29">
        <f>BG115</f>
        <v>0</v>
      </c>
      <c r="BH125" s="12"/>
      <c r="BI125" s="80" t="s">
        <v>34</v>
      </c>
      <c r="BJ125" s="29">
        <f t="shared" ref="BJ125:BJ130" si="80">IF($A$176=$L$176,"限度超過",IF(BE125=0,0,BE125/$S$94))</f>
        <v>0</v>
      </c>
      <c r="BK125" s="80" t="s">
        <v>39</v>
      </c>
      <c r="BL125" s="29">
        <f>IF($A$176=$L$176,"限度超過",IF(BG125=0,0,BG125/$S$94))</f>
        <v>0</v>
      </c>
      <c r="BM125" s="12"/>
      <c r="BN125" s="30" t="s">
        <v>34</v>
      </c>
      <c r="BO125" s="29">
        <f t="shared" ref="BO125:BO130" si="81">IF($A$176=$L$176,"限度超過",IF($S$94&lt;=2,0,BJ125))</f>
        <v>0</v>
      </c>
      <c r="BP125" s="80" t="s">
        <v>39</v>
      </c>
      <c r="BQ125" s="29">
        <f>IF($A$176=$L$176,"限度超過",IF($S$94&lt;=2,0,BL125))</f>
        <v>0</v>
      </c>
      <c r="BR125" s="449"/>
      <c r="BS125" s="12"/>
      <c r="BT125" s="12"/>
      <c r="BU125" s="12"/>
      <c r="BV125" s="12"/>
      <c r="BW125" s="12"/>
      <c r="BX125" s="32"/>
      <c r="BY125" s="33" t="str">
        <f>BY115</f>
        <v>料率</v>
      </c>
      <c r="BZ125" s="33">
        <f>BZ115</f>
        <v>7</v>
      </c>
      <c r="CA125" s="33">
        <f>CA115</f>
        <v>5</v>
      </c>
      <c r="CB125" s="33">
        <f>CB115</f>
        <v>2</v>
      </c>
      <c r="CC125" s="713" t="s">
        <v>467</v>
      </c>
      <c r="CD125" s="4"/>
      <c r="CE125" s="4"/>
      <c r="CF125" s="4"/>
      <c r="CG125" s="4"/>
      <c r="CH125" s="4"/>
      <c r="CI125" s="13"/>
    </row>
    <row r="126" spans="1:87" ht="18" customHeight="1">
      <c r="A126" s="1421" t="s">
        <v>0</v>
      </c>
      <c r="B126" s="1448" t="s">
        <v>129</v>
      </c>
      <c r="C126" s="1376">
        <f>C37</f>
        <v>0</v>
      </c>
      <c r="D126" s="855" t="s">
        <v>58</v>
      </c>
      <c r="E126" s="1416">
        <f>IF(H129&gt;0,$CE$100, 0)</f>
        <v>0</v>
      </c>
      <c r="F126" s="1380" t="s">
        <v>22</v>
      </c>
      <c r="G126" s="855" t="s">
        <v>59</v>
      </c>
      <c r="H126" s="85">
        <f>IF(H129&gt;0,$CE$96,0)</f>
        <v>0</v>
      </c>
      <c r="I126" s="1277" t="s">
        <v>22</v>
      </c>
      <c r="J126" s="855" t="s">
        <v>59</v>
      </c>
      <c r="K126" s="51">
        <f>K37</f>
        <v>0</v>
      </c>
      <c r="L126" s="52" t="s">
        <v>5</v>
      </c>
      <c r="M126" s="1380"/>
      <c r="N126" s="1407"/>
      <c r="O126" s="86"/>
      <c r="P126" s="1377" t="s">
        <v>130</v>
      </c>
      <c r="Q126" s="1377"/>
      <c r="R126" s="1403">
        <f>ROUNDDOWN(IF(((C126-E126)*H126/H127)*K126/K127&lt;0,0,((C126-E126)*H126/H127)*K126/K127),0)</f>
        <v>0</v>
      </c>
      <c r="S126" s="1381" t="s">
        <v>6</v>
      </c>
      <c r="T126" s="72" t="s">
        <v>1</v>
      </c>
      <c r="U126" s="105">
        <f>IF(H129=0,0,K132)</f>
        <v>0</v>
      </c>
      <c r="V126" s="88" t="s">
        <v>6</v>
      </c>
      <c r="W126" s="30" t="s">
        <v>35</v>
      </c>
      <c r="X126" s="29">
        <f t="shared" si="77"/>
        <v>0</v>
      </c>
      <c r="Y126" s="30" t="s">
        <v>40</v>
      </c>
      <c r="Z126" s="31">
        <f>IF($AH$13&gt;0,0,BB126)</f>
        <v>0</v>
      </c>
      <c r="AA126" s="4"/>
      <c r="AB126" s="4"/>
      <c r="AC126" s="492"/>
      <c r="AD126" s="4"/>
      <c r="AE126" s="74"/>
      <c r="AF126" s="1386">
        <f>ROUNDDOWN(IF(((C126-E126)*H126/H127)&lt;0,0,((C126-E126)*H126/H127)),0)</f>
        <v>0</v>
      </c>
      <c r="AG126" s="4"/>
      <c r="AH126" s="4"/>
      <c r="AI126" s="174"/>
      <c r="AJ126" s="174"/>
      <c r="AK126" s="174"/>
      <c r="AL126" s="174"/>
      <c r="AM126" s="174"/>
      <c r="AN126" s="173"/>
      <c r="AO126" s="126" t="s">
        <v>35</v>
      </c>
      <c r="AP126" s="347">
        <f>ROUND((AP37-AP215)*AQ124,0)</f>
        <v>0</v>
      </c>
      <c r="AQ126" s="354" t="s">
        <v>40</v>
      </c>
      <c r="AR126" s="348">
        <f>ROUND((AR37-AR215)*AQ124,0)</f>
        <v>0</v>
      </c>
      <c r="AS126" s="374"/>
      <c r="AT126" s="126" t="s">
        <v>35</v>
      </c>
      <c r="AU126" s="347">
        <f>IF(AV124=0,0,IF(AV124&gt;=9,1,IF(AV124&lt;=-9,-1,0)))</f>
        <v>0</v>
      </c>
      <c r="AV126" s="354" t="s">
        <v>40</v>
      </c>
      <c r="AW126" s="348">
        <f>IF(AV124=0,0,IF(AV124&gt;=3,1,IF(AV124&lt;=-3,-1,0)))</f>
        <v>0</v>
      </c>
      <c r="AX126" s="321"/>
      <c r="AY126" s="264" t="s">
        <v>35</v>
      </c>
      <c r="AZ126" s="375">
        <f t="shared" si="78"/>
        <v>0</v>
      </c>
      <c r="BA126" s="322" t="s">
        <v>40</v>
      </c>
      <c r="BB126" s="127">
        <f>IF($AG$2&gt;0,"限度超過",IF($A$176=$L$176,"限度超過",AR126+AW126))</f>
        <v>0</v>
      </c>
      <c r="BC126" s="321"/>
      <c r="BD126" s="451" t="s">
        <v>35</v>
      </c>
      <c r="BE126" s="81">
        <f t="shared" si="79"/>
        <v>0</v>
      </c>
      <c r="BF126" s="82" t="s">
        <v>40</v>
      </c>
      <c r="BG126" s="29">
        <f>BG116</f>
        <v>0</v>
      </c>
      <c r="BH126" s="12"/>
      <c r="BI126" s="30" t="s">
        <v>35</v>
      </c>
      <c r="BJ126" s="29">
        <f t="shared" si="80"/>
        <v>0</v>
      </c>
      <c r="BK126" s="30" t="s">
        <v>40</v>
      </c>
      <c r="BL126" s="29">
        <f>IF($A$176=$L$176,"限度超過",IF(BG126=0,0,BG126/$S$94))</f>
        <v>0</v>
      </c>
      <c r="BM126" s="12"/>
      <c r="BN126" s="30" t="s">
        <v>35</v>
      </c>
      <c r="BO126" s="29">
        <f t="shared" si="81"/>
        <v>0</v>
      </c>
      <c r="BP126" s="30" t="s">
        <v>40</v>
      </c>
      <c r="BQ126" s="29">
        <f>IF($A$176=$L$176,"限度超過",IF($S$94&lt;=2,0,BL126))</f>
        <v>0</v>
      </c>
      <c r="BR126" s="449"/>
      <c r="BS126" s="12"/>
      <c r="BT126" s="12"/>
      <c r="BU126" s="12"/>
      <c r="BV126" s="12"/>
      <c r="BW126" s="12"/>
      <c r="BX126" s="32" t="s">
        <v>17</v>
      </c>
      <c r="BY126" s="44">
        <v>0</v>
      </c>
      <c r="BZ126" s="45">
        <f>$CF$97</f>
        <v>6420</v>
      </c>
      <c r="CA126" s="45">
        <f>$CG$97</f>
        <v>4590</v>
      </c>
      <c r="CB126" s="45">
        <f>$CH$97</f>
        <v>1840</v>
      </c>
      <c r="CC126" s="713"/>
      <c r="CD126" s="4"/>
      <c r="CE126" s="4"/>
      <c r="CF126" s="4"/>
      <c r="CG126" s="4"/>
      <c r="CH126" s="4"/>
      <c r="CI126" s="13"/>
    </row>
    <row r="127" spans="1:87" ht="18" customHeight="1">
      <c r="A127" s="1421"/>
      <c r="B127" s="1448"/>
      <c r="C127" s="1376"/>
      <c r="D127" s="855"/>
      <c r="E127" s="1416"/>
      <c r="F127" s="1380"/>
      <c r="G127" s="855"/>
      <c r="H127" s="39">
        <v>100</v>
      </c>
      <c r="I127" s="1277"/>
      <c r="J127" s="855"/>
      <c r="K127" s="55">
        <v>12</v>
      </c>
      <c r="L127" s="12" t="s">
        <v>5</v>
      </c>
      <c r="M127" s="1380"/>
      <c r="N127" s="1407"/>
      <c r="O127" s="86"/>
      <c r="P127" s="1377"/>
      <c r="Q127" s="1377"/>
      <c r="R127" s="1403"/>
      <c r="S127" s="1381"/>
      <c r="T127" s="72" t="s">
        <v>29</v>
      </c>
      <c r="U127" s="105">
        <f>U125+U126</f>
        <v>0</v>
      </c>
      <c r="V127" s="88" t="s">
        <v>6</v>
      </c>
      <c r="W127" s="30" t="s">
        <v>36</v>
      </c>
      <c r="X127" s="29">
        <f t="shared" si="77"/>
        <v>0</v>
      </c>
      <c r="Y127" s="30" t="s">
        <v>41</v>
      </c>
      <c r="Z127" s="31">
        <f>IF($AH$13&gt;0,0,BB127)</f>
        <v>0</v>
      </c>
      <c r="AB127" s="4"/>
      <c r="AC127" s="492"/>
      <c r="AD127" s="4"/>
      <c r="AE127" s="74"/>
      <c r="AF127" s="1363"/>
      <c r="AG127" s="4"/>
      <c r="AH127" s="4"/>
      <c r="AI127" s="174"/>
      <c r="AJ127" s="174"/>
      <c r="AK127" s="174"/>
      <c r="AL127" s="174"/>
      <c r="AM127" s="174"/>
      <c r="AN127" s="173"/>
      <c r="AO127" s="126" t="s">
        <v>36</v>
      </c>
      <c r="AP127" s="347">
        <f>ROUND((AP38-AP216)*AQ124,0)</f>
        <v>0</v>
      </c>
      <c r="AQ127" s="354" t="s">
        <v>41</v>
      </c>
      <c r="AR127" s="348">
        <f>ROUND((AR38-AR216)*AQ124,0)</f>
        <v>0</v>
      </c>
      <c r="AS127" s="353"/>
      <c r="AT127" s="126" t="s">
        <v>36</v>
      </c>
      <c r="AU127" s="347">
        <f>IF(AV124=0,0,IF(AV124&gt;=8,1,IF(AV124&lt;=-8,-1,0)))</f>
        <v>0</v>
      </c>
      <c r="AV127" s="354" t="s">
        <v>41</v>
      </c>
      <c r="AW127" s="348">
        <f>IF(AV124=0,0,IF(AV124&gt;=2,1,IF(AV124&lt;=-2,-1,0)))</f>
        <v>0</v>
      </c>
      <c r="AX127" s="321"/>
      <c r="AY127" s="264" t="s">
        <v>36</v>
      </c>
      <c r="AZ127" s="375">
        <f t="shared" si="78"/>
        <v>0</v>
      </c>
      <c r="BA127" s="322" t="s">
        <v>41</v>
      </c>
      <c r="BB127" s="127">
        <f>IF($AG$2&gt;0,"限度超過",IF($A$176=$L$176,"限度超過",AR127+AW127))</f>
        <v>0</v>
      </c>
      <c r="BC127" s="321"/>
      <c r="BD127" s="451" t="s">
        <v>36</v>
      </c>
      <c r="BE127" s="81">
        <f t="shared" si="79"/>
        <v>0</v>
      </c>
      <c r="BF127" s="82" t="s">
        <v>41</v>
      </c>
      <c r="BG127" s="29">
        <f>BG117</f>
        <v>0</v>
      </c>
      <c r="BH127" s="12"/>
      <c r="BI127" s="30" t="s">
        <v>36</v>
      </c>
      <c r="BJ127" s="29">
        <f t="shared" si="80"/>
        <v>0</v>
      </c>
      <c r="BK127" s="30" t="s">
        <v>41</v>
      </c>
      <c r="BL127" s="29">
        <f>IF($A$176=$L$176,"限度超過",IF(BG127=0,0,BG127/$S$94))</f>
        <v>0</v>
      </c>
      <c r="BM127" s="12"/>
      <c r="BN127" s="30" t="s">
        <v>36</v>
      </c>
      <c r="BO127" s="29">
        <f t="shared" si="81"/>
        <v>0</v>
      </c>
      <c r="BP127" s="30" t="s">
        <v>41</v>
      </c>
      <c r="BQ127" s="29">
        <f>IF($A$176=$L$176,"限度超過",IF($S$94&lt;=2,0,BL127))</f>
        <v>0</v>
      </c>
      <c r="BR127" s="449"/>
      <c r="BS127" s="12"/>
      <c r="BT127" s="12"/>
      <c r="BU127" s="12"/>
      <c r="BV127" s="12"/>
      <c r="BW127" s="12"/>
      <c r="BX127" s="32" t="s">
        <v>8</v>
      </c>
      <c r="BY127" s="45">
        <f>K129</f>
        <v>0</v>
      </c>
      <c r="BZ127" s="45">
        <f t="shared" ref="BZ127:CB129" si="82">BY127</f>
        <v>0</v>
      </c>
      <c r="CA127" s="45">
        <f t="shared" si="82"/>
        <v>0</v>
      </c>
      <c r="CB127" s="45">
        <f t="shared" si="82"/>
        <v>0</v>
      </c>
      <c r="CC127" s="713">
        <f>CB127</f>
        <v>0</v>
      </c>
      <c r="CD127" s="4"/>
      <c r="CE127" s="4"/>
      <c r="CF127" s="4"/>
      <c r="CG127" s="4"/>
      <c r="CH127" s="4"/>
      <c r="CI127" s="13"/>
    </row>
    <row r="128" spans="1:87" ht="18" customHeight="1">
      <c r="A128" s="165"/>
      <c r="B128" s="12"/>
      <c r="C128" s="50"/>
      <c r="D128" s="12"/>
      <c r="E128" s="12"/>
      <c r="F128" s="12"/>
      <c r="G128" s="12"/>
      <c r="H128" s="91"/>
      <c r="I128" s="75"/>
      <c r="J128" s="75"/>
      <c r="K128" s="92"/>
      <c r="L128" s="75"/>
      <c r="M128" s="93"/>
      <c r="N128" s="714" t="str">
        <f>IF(入力画面!E22=1,"未就学児",0)</f>
        <v>未就学児</v>
      </c>
      <c r="O128" s="42">
        <f>IF(H129=0,0,$D$94)</f>
        <v>0</v>
      </c>
      <c r="P128" s="466">
        <f>IF(O129=0,0,"軽減額")</f>
        <v>0</v>
      </c>
      <c r="Q128" s="12"/>
      <c r="R128" s="95"/>
      <c r="S128" s="49"/>
      <c r="T128" s="96" t="s">
        <v>31</v>
      </c>
      <c r="U128" s="105">
        <f>ROUNDDOWN(U127,-2)</f>
        <v>0</v>
      </c>
      <c r="V128" s="88" t="s">
        <v>6</v>
      </c>
      <c r="W128" s="30" t="s">
        <v>43</v>
      </c>
      <c r="X128" s="29">
        <f t="shared" si="77"/>
        <v>0</v>
      </c>
      <c r="Y128" s="30" t="s">
        <v>42</v>
      </c>
      <c r="Z128" s="31">
        <f>IF($AH$13&gt;0,0,BB128)</f>
        <v>0</v>
      </c>
      <c r="AA128" s="73"/>
      <c r="AB128" s="73"/>
      <c r="AC128" s="225"/>
      <c r="AD128" s="73"/>
      <c r="AE128" s="500" t="str">
        <f>IF($AH$13&gt;0,"－",IF($AG$2&gt;0,"限度超過",IF(U129=Z129,"OK","ｱﾝﾏｯﾁ")))</f>
        <v>OK</v>
      </c>
      <c r="AF128" s="499"/>
      <c r="AG128" s="73"/>
      <c r="AI128" s="175"/>
      <c r="AJ128" s="175"/>
      <c r="AK128" s="175"/>
      <c r="AL128" s="175"/>
      <c r="AM128" s="175"/>
      <c r="AN128" s="174"/>
      <c r="AO128" s="126" t="s">
        <v>43</v>
      </c>
      <c r="AP128" s="347">
        <f>ROUND((AP39-AP217)*AQ124,0)</f>
        <v>0</v>
      </c>
      <c r="AQ128" s="354" t="s">
        <v>42</v>
      </c>
      <c r="AR128" s="348">
        <f>ROUND((AR39-AR217)*AQ124,0)</f>
        <v>0</v>
      </c>
      <c r="AS128" s="353"/>
      <c r="AT128" s="126" t="s">
        <v>43</v>
      </c>
      <c r="AU128" s="347">
        <f>IF(AV124=0,0,IF(AV124&gt;=7,1,IF(AV124&lt;=-7,-1,0)))</f>
        <v>0</v>
      </c>
      <c r="AV128" s="354" t="s">
        <v>42</v>
      </c>
      <c r="AW128" s="348">
        <f>IF(AV124=0,0,IF(AV124&gt;=1,1,IF(AV124&lt;=-1,-1,0)))</f>
        <v>0</v>
      </c>
      <c r="AX128" s="321"/>
      <c r="AY128" s="264" t="s">
        <v>43</v>
      </c>
      <c r="AZ128" s="375">
        <f t="shared" si="78"/>
        <v>0</v>
      </c>
      <c r="BA128" s="322" t="s">
        <v>42</v>
      </c>
      <c r="BB128" s="127">
        <f>IF($AG$2&gt;0,"限度超過",IF($A$176=$L$176,"限度超過",AR128+AW128))</f>
        <v>0</v>
      </c>
      <c r="BC128" s="321"/>
      <c r="BD128" s="451" t="s">
        <v>43</v>
      </c>
      <c r="BE128" s="81">
        <f t="shared" si="79"/>
        <v>0</v>
      </c>
      <c r="BF128" s="82" t="s">
        <v>42</v>
      </c>
      <c r="BG128" s="29">
        <f>BG118</f>
        <v>0</v>
      </c>
      <c r="BH128" s="12"/>
      <c r="BI128" s="30" t="s">
        <v>43</v>
      </c>
      <c r="BJ128" s="29">
        <f t="shared" si="80"/>
        <v>0</v>
      </c>
      <c r="BK128" s="30" t="s">
        <v>42</v>
      </c>
      <c r="BL128" s="29">
        <f>IF($A$176=$L$176,"限度超過",IF(BG128=0,0,BG128/$S$94))</f>
        <v>0</v>
      </c>
      <c r="BM128" s="12"/>
      <c r="BN128" s="30" t="s">
        <v>43</v>
      </c>
      <c r="BO128" s="29">
        <f t="shared" si="81"/>
        <v>0</v>
      </c>
      <c r="BP128" s="30" t="s">
        <v>42</v>
      </c>
      <c r="BQ128" s="29">
        <f>IF($A$176=$L$176,"限度超過",IF($S$94&lt;=2,0,BL128))</f>
        <v>0</v>
      </c>
      <c r="BR128" s="449"/>
      <c r="BS128" s="12"/>
      <c r="BT128" s="12"/>
      <c r="BU128" s="12"/>
      <c r="BV128" s="12"/>
      <c r="BW128" s="12"/>
      <c r="BX128" s="32" t="s">
        <v>25</v>
      </c>
      <c r="BY128" s="45">
        <f>K130</f>
        <v>0</v>
      </c>
      <c r="BZ128" s="45">
        <f t="shared" si="82"/>
        <v>0</v>
      </c>
      <c r="CA128" s="45">
        <f t="shared" si="82"/>
        <v>0</v>
      </c>
      <c r="CB128" s="45">
        <f t="shared" si="82"/>
        <v>0</v>
      </c>
      <c r="CC128" s="713">
        <f>CB128</f>
        <v>0</v>
      </c>
      <c r="CD128" s="4"/>
      <c r="CE128" s="4"/>
      <c r="CF128" s="4"/>
      <c r="CG128" s="4"/>
      <c r="CH128" s="4"/>
      <c r="CI128" s="13"/>
    </row>
    <row r="129" spans="1:87" ht="18" customHeight="1">
      <c r="A129" s="1421" t="s">
        <v>10</v>
      </c>
      <c r="B129" s="12"/>
      <c r="C129" s="12"/>
      <c r="D129" s="1419" t="s">
        <v>7</v>
      </c>
      <c r="E129" s="1416">
        <f>IF(H129&gt;0,$CE$97,0)</f>
        <v>0</v>
      </c>
      <c r="F129" s="97"/>
      <c r="G129" s="855" t="s">
        <v>59</v>
      </c>
      <c r="H129" s="1413">
        <f>IF(B124=0,0,SUBTOTAL(3,B124))</f>
        <v>0</v>
      </c>
      <c r="I129" s="1277" t="s">
        <v>22</v>
      </c>
      <c r="J129" s="855" t="s">
        <v>59</v>
      </c>
      <c r="K129" s="51">
        <f>IF(H129&gt;0,K126,0)</f>
        <v>0</v>
      </c>
      <c r="L129" s="52" t="s">
        <v>5</v>
      </c>
      <c r="M129" s="1407" t="s">
        <v>122</v>
      </c>
      <c r="N129" s="1402">
        <f>IF(O129=0,0,"―")</f>
        <v>0</v>
      </c>
      <c r="O129" s="1404">
        <f>IF(H129=0,0,IF(BY131=0,IF($D$94=7,BZ130,IF($D$94=5,CA130,IF($D$94=2,CB130,CC130))),IF($D$94=7,BZ130+BZ131,IF($D$94=5,CA130+CA131,IF($D$94=2,CB130+CB131,CC130+CC131)))))</f>
        <v>0</v>
      </c>
      <c r="P129" s="1405"/>
      <c r="Q129" s="1377" t="s">
        <v>130</v>
      </c>
      <c r="R129" s="1403">
        <f>IF(H129&gt;0,IF(K126=0,0,ROUNDDOWN(((E129*H129)*K129/K130)-O129,0)),0)</f>
        <v>0</v>
      </c>
      <c r="S129" s="1381" t="s">
        <v>6</v>
      </c>
      <c r="T129" s="1207" t="s">
        <v>32</v>
      </c>
      <c r="U129" s="1458">
        <f>IF($L$176=$A$176,"限度超過!",U127)</f>
        <v>0</v>
      </c>
      <c r="V129" s="1470" t="s">
        <v>6</v>
      </c>
      <c r="W129" s="30" t="s">
        <v>37</v>
      </c>
      <c r="X129" s="29">
        <f t="shared" si="77"/>
        <v>0</v>
      </c>
      <c r="Y129" s="1199" t="s">
        <v>44</v>
      </c>
      <c r="Z129" s="1394">
        <f>IF($AH$13&gt;0,0,BB129)</f>
        <v>0</v>
      </c>
      <c r="AA129" s="26"/>
      <c r="AB129" s="26"/>
      <c r="AC129" s="494"/>
      <c r="AD129" s="26"/>
      <c r="AE129" s="500" t="str">
        <f>IF($AG$2&gt;0,"限度超過",IF(X125+X126+X127+X128+X129+X130+Z125+Z126+Z127+Z128=Z129,"OK","エラー"))</f>
        <v>OK</v>
      </c>
      <c r="AF129" s="1362">
        <f>IF(H129&gt;0,IF(K126=0,0,ROUNDDOWN((E129*H129)-O129,0)),0)</f>
        <v>0</v>
      </c>
      <c r="AG129" s="26"/>
      <c r="AI129" s="173"/>
      <c r="AJ129" s="179"/>
      <c r="AK129" s="179"/>
      <c r="AL129" s="179"/>
      <c r="AM129" s="179"/>
      <c r="AN129" s="174"/>
      <c r="AO129" s="126" t="s">
        <v>37</v>
      </c>
      <c r="AP129" s="347">
        <f>ROUND((AP40-AP218)*AQ124,0)</f>
        <v>0</v>
      </c>
      <c r="AQ129" s="355" t="s">
        <v>44</v>
      </c>
      <c r="AR129" s="349">
        <f>AP125+AP126+AP127+AP128+AP129+AP130+AR125+AR126+AR127+AR128</f>
        <v>0</v>
      </c>
      <c r="AS129" s="353"/>
      <c r="AT129" s="126" t="s">
        <v>37</v>
      </c>
      <c r="AU129" s="347">
        <f>IF(AV124=0,0,IF(AV124&gt;=6,1,IF(AV124&lt;=-6,-1,0)))</f>
        <v>0</v>
      </c>
      <c r="AV129" s="355" t="s">
        <v>44</v>
      </c>
      <c r="AW129" s="356">
        <f>AU125+AU126+AU127+AU128+AU129+AU130+AW125+AW126+AW127+AW128</f>
        <v>0</v>
      </c>
      <c r="AX129" s="321"/>
      <c r="AY129" s="264" t="s">
        <v>37</v>
      </c>
      <c r="AZ129" s="375">
        <f t="shared" si="78"/>
        <v>0</v>
      </c>
      <c r="BA129" s="323" t="s">
        <v>44</v>
      </c>
      <c r="BB129" s="420">
        <f>IF($AG$2&gt;0,"限度超過",AZ125+AZ126+AZ127+AZ128+AZ129+AZ130+BB125+BB126+BB127+BB128)</f>
        <v>0</v>
      </c>
      <c r="BC129" s="321"/>
      <c r="BD129" s="451" t="s">
        <v>37</v>
      </c>
      <c r="BE129" s="81">
        <f t="shared" si="79"/>
        <v>0</v>
      </c>
      <c r="BF129" s="443" t="s">
        <v>44</v>
      </c>
      <c r="BG129" s="29">
        <f>IF($A$176=$L$176,"限度超過",BE125+BE126+BE127+BE128+BE129+BE130+BG125+BG126+BG127+BG128)</f>
        <v>0</v>
      </c>
      <c r="BH129" s="12"/>
      <c r="BI129" s="30" t="s">
        <v>37</v>
      </c>
      <c r="BJ129" s="29">
        <f t="shared" si="80"/>
        <v>0</v>
      </c>
      <c r="BK129" s="98" t="s">
        <v>44</v>
      </c>
      <c r="BL129" s="29">
        <f>IF($A$176=$L$176,"限度超過",BJ125+BJ126+BJ127+BJ128+BJ129+BJ130+BL125+BL126+BL127+BL128)</f>
        <v>0</v>
      </c>
      <c r="BM129" s="12"/>
      <c r="BN129" s="30" t="s">
        <v>37</v>
      </c>
      <c r="BO129" s="29">
        <f t="shared" si="81"/>
        <v>0</v>
      </c>
      <c r="BP129" s="98" t="s">
        <v>44</v>
      </c>
      <c r="BQ129" s="29">
        <f>IF($A$176=$L$176,"限度超過",BO125+BO126+BO127+BO128+BO129+BO130+BQ125+BQ126+BQ127+BQ128)</f>
        <v>0</v>
      </c>
      <c r="BR129" s="449"/>
      <c r="BS129" s="12"/>
      <c r="BT129" s="12"/>
      <c r="BU129" s="12"/>
      <c r="BV129" s="12"/>
      <c r="BW129" s="12"/>
      <c r="BX129" s="32" t="s">
        <v>26</v>
      </c>
      <c r="BY129" s="26">
        <f>H129</f>
        <v>0</v>
      </c>
      <c r="BZ129" s="99">
        <f t="shared" si="82"/>
        <v>0</v>
      </c>
      <c r="CA129" s="99">
        <f t="shared" si="82"/>
        <v>0</v>
      </c>
      <c r="CB129" s="99">
        <f t="shared" si="82"/>
        <v>0</v>
      </c>
      <c r="CC129" s="713">
        <f>CB129</f>
        <v>0</v>
      </c>
      <c r="CD129" s="4"/>
      <c r="CE129" s="4"/>
      <c r="CF129" s="4"/>
      <c r="CG129" s="4"/>
      <c r="CH129" s="4"/>
      <c r="CI129" s="13"/>
    </row>
    <row r="130" spans="1:87" ht="18" customHeight="1">
      <c r="A130" s="1421"/>
      <c r="B130" s="12"/>
      <c r="C130" s="12"/>
      <c r="D130" s="1419"/>
      <c r="E130" s="1416"/>
      <c r="F130" s="12"/>
      <c r="G130" s="855"/>
      <c r="H130" s="1413"/>
      <c r="I130" s="1277"/>
      <c r="J130" s="855"/>
      <c r="K130" s="180">
        <f>IF(H129&gt;0,K127,0)</f>
        <v>0</v>
      </c>
      <c r="L130" s="12" t="s">
        <v>5</v>
      </c>
      <c r="M130" s="1407"/>
      <c r="N130" s="1402"/>
      <c r="O130" s="1405"/>
      <c r="P130" s="1405"/>
      <c r="Q130" s="1377"/>
      <c r="R130" s="1403"/>
      <c r="S130" s="1381"/>
      <c r="T130" s="1411"/>
      <c r="U130" s="1459"/>
      <c r="V130" s="1471"/>
      <c r="W130" s="30" t="s">
        <v>38</v>
      </c>
      <c r="X130" s="29">
        <f t="shared" si="77"/>
        <v>0</v>
      </c>
      <c r="Y130" s="1368"/>
      <c r="Z130" s="1395"/>
      <c r="AA130" s="26"/>
      <c r="AB130" s="26"/>
      <c r="AC130" s="494"/>
      <c r="AD130" s="26"/>
      <c r="AE130" s="489"/>
      <c r="AF130" s="1363"/>
      <c r="AG130" s="26"/>
      <c r="AH130" s="26"/>
      <c r="AI130" s="173"/>
      <c r="AJ130" s="179"/>
      <c r="AK130" s="179"/>
      <c r="AL130" s="179"/>
      <c r="AM130" s="179"/>
      <c r="AN130" s="175"/>
      <c r="AO130" s="126" t="s">
        <v>38</v>
      </c>
      <c r="AP130" s="347">
        <f>ROUND((AP41-AP219)*AQ124,0)</f>
        <v>0</v>
      </c>
      <c r="AQ130" s="354" t="s">
        <v>75</v>
      </c>
      <c r="AR130" s="333">
        <f>IF($AG$2&gt;0,"限度超過",U129)</f>
        <v>0</v>
      </c>
      <c r="AS130" s="350"/>
      <c r="AT130" s="126" t="s">
        <v>38</v>
      </c>
      <c r="AU130" s="347">
        <f>IF(AV124=0,0,IF(AV124&gt;=5,1,IF(AV124&lt;=-5,-1,0)))</f>
        <v>0</v>
      </c>
      <c r="AV130" s="354"/>
      <c r="AW130" s="357" t="str">
        <f>IF(AU125+AU126+AU127+AU128+AU129+AU130+AW125+AW126+AW127+AW128=AV124,"計算ＯＫ","エラー発生")</f>
        <v>計算ＯＫ</v>
      </c>
      <c r="AX130" s="321"/>
      <c r="AY130" s="264" t="s">
        <v>38</v>
      </c>
      <c r="AZ130" s="375">
        <f t="shared" si="78"/>
        <v>0</v>
      </c>
      <c r="BA130" s="322"/>
      <c r="BB130" s="421">
        <f>IF($AG$2&gt;0,"限度超過",IF($A$176=$L$176,"限度超過",$U$109))</f>
        <v>4100</v>
      </c>
      <c r="BC130" s="321"/>
      <c r="BD130" s="451" t="s">
        <v>38</v>
      </c>
      <c r="BE130" s="81">
        <f t="shared" si="79"/>
        <v>0</v>
      </c>
      <c r="BF130" s="82"/>
      <c r="BG130" s="100"/>
      <c r="BH130" s="12"/>
      <c r="BI130" s="30" t="s">
        <v>38</v>
      </c>
      <c r="BJ130" s="29">
        <f t="shared" si="80"/>
        <v>0</v>
      </c>
      <c r="BK130" s="30"/>
      <c r="BL130" s="100"/>
      <c r="BM130" s="12"/>
      <c r="BN130" s="30" t="s">
        <v>38</v>
      </c>
      <c r="BO130" s="29">
        <f t="shared" si="81"/>
        <v>0</v>
      </c>
      <c r="BP130" s="30"/>
      <c r="BQ130" s="100"/>
      <c r="BR130" s="449"/>
      <c r="BS130" s="12"/>
      <c r="BT130" s="12"/>
      <c r="BU130" s="12"/>
      <c r="BV130" s="12"/>
      <c r="BW130" s="12"/>
      <c r="BX130" s="67" t="s">
        <v>27</v>
      </c>
      <c r="BY130" s="45">
        <f>IF(BY129&gt;0,ROUNDDOWN(BY126*BY129*BY127/BY128,0),0)</f>
        <v>0</v>
      </c>
      <c r="BZ130" s="45">
        <f>IF(BZ129&gt;0,ROUNDDOWN(BZ126*BZ129*BZ127/BZ128,0),0)</f>
        <v>0</v>
      </c>
      <c r="CA130" s="45">
        <f>IF(CA129&gt;0,ROUNDDOWN(CA126*CA129*CA127/CA128,0),0)</f>
        <v>0</v>
      </c>
      <c r="CB130" s="45">
        <f>IF(CB129&gt;0,ROUNDDOWN(CB126*CB129*CB127/CB128,0),0)</f>
        <v>0</v>
      </c>
      <c r="CC130" s="713">
        <v>0</v>
      </c>
      <c r="CD130" s="4"/>
      <c r="CE130" s="4"/>
      <c r="CF130" s="4"/>
      <c r="CG130" s="4"/>
      <c r="CH130" s="4"/>
      <c r="CI130" s="13"/>
    </row>
    <row r="131" spans="1:87" ht="18" customHeight="1">
      <c r="A131" s="202"/>
      <c r="B131" s="75" t="s">
        <v>118</v>
      </c>
      <c r="C131" s="12"/>
      <c r="D131" s="160"/>
      <c r="E131" s="161"/>
      <c r="F131" s="12"/>
      <c r="G131" s="50"/>
      <c r="H131" s="162"/>
      <c r="I131" s="159"/>
      <c r="J131" s="50"/>
      <c r="K131" s="180"/>
      <c r="L131" s="12"/>
      <c r="M131" s="86"/>
      <c r="N131" s="86"/>
      <c r="O131" s="181"/>
      <c r="P131" s="181"/>
      <c r="Q131" s="156"/>
      <c r="R131" s="157"/>
      <c r="S131" s="49"/>
      <c r="T131" s="50"/>
      <c r="U131" s="182"/>
      <c r="V131" s="50"/>
      <c r="W131" s="4"/>
      <c r="X131" s="26"/>
      <c r="Y131" s="170"/>
      <c r="Z131" s="187"/>
      <c r="AA131" s="26"/>
      <c r="AB131" s="26"/>
      <c r="AC131" s="494"/>
      <c r="AD131" s="26"/>
      <c r="AE131" s="489"/>
      <c r="AF131" s="236"/>
      <c r="AG131" s="26"/>
      <c r="AH131" s="26"/>
      <c r="AI131" s="173"/>
      <c r="AJ131" s="173"/>
      <c r="AK131" s="173"/>
      <c r="AL131" s="173"/>
      <c r="AM131" s="173"/>
      <c r="AN131" s="173"/>
      <c r="AO131" s="351"/>
      <c r="AP131" s="351"/>
      <c r="AQ131" s="352"/>
      <c r="AR131" s="352"/>
      <c r="AS131" s="350"/>
      <c r="AT131" s="350"/>
      <c r="AU131" s="350"/>
      <c r="AV131" s="350"/>
      <c r="AW131" s="350"/>
      <c r="AX131" s="321"/>
      <c r="AY131" s="422"/>
      <c r="AZ131" s="351"/>
      <c r="BA131" s="352"/>
      <c r="BB131" s="467" t="str">
        <f>IF(BB129=BB130,"OK","エラー")</f>
        <v>エラー</v>
      </c>
      <c r="BC131" s="321"/>
      <c r="BD131" s="452"/>
      <c r="BF131" s="4" t="s">
        <v>260</v>
      </c>
      <c r="BH131" s="12"/>
      <c r="BM131" s="12"/>
      <c r="BR131" s="449"/>
      <c r="BS131" s="12"/>
      <c r="BT131" s="12"/>
      <c r="BU131" s="12"/>
      <c r="BV131" s="12"/>
      <c r="BW131" s="12"/>
      <c r="BX131" s="32" t="s">
        <v>468</v>
      </c>
      <c r="BY131" s="713">
        <f>IF(入力画面!E22=1,1,0)</f>
        <v>1</v>
      </c>
      <c r="BZ131" s="713" t="e">
        <f>IF($BY$131=1,ROUNDDOWN($CF$101*BZ127/BZ128,0),0)</f>
        <v>#DIV/0!</v>
      </c>
      <c r="CA131" s="713" t="e">
        <f>IF($BY$131=1,ROUNDDOWN($CG$101*CA127/CA128,0),0)</f>
        <v>#DIV/0!</v>
      </c>
      <c r="CB131" s="713" t="e">
        <f>IF($BY$131=1,ROUNDDOWN($CH$101*CB127/CB128,0),0)</f>
        <v>#DIV/0!</v>
      </c>
      <c r="CC131" s="713" t="e">
        <f>IF($BY$131=1,ROUNDDOWN($CE$101*CC127/CC128,0),0)</f>
        <v>#DIV/0!</v>
      </c>
      <c r="CD131" s="4"/>
      <c r="CE131" s="4"/>
      <c r="CF131" s="4"/>
      <c r="CG131" s="4"/>
      <c r="CH131" s="4"/>
      <c r="CI131" s="13"/>
    </row>
    <row r="132" spans="1:87" ht="18" customHeight="1">
      <c r="A132" s="58" t="s">
        <v>1</v>
      </c>
      <c r="B132" s="52"/>
      <c r="C132" s="189">
        <f>IF(H129&gt;0,$X$102,0)</f>
        <v>0</v>
      </c>
      <c r="D132" s="203" t="s">
        <v>6</v>
      </c>
      <c r="E132" s="60" t="s">
        <v>131</v>
      </c>
      <c r="F132" s="1204">
        <f>K126</f>
        <v>0</v>
      </c>
      <c r="G132" s="1204"/>
      <c r="H132" s="216" t="s">
        <v>5</v>
      </c>
      <c r="I132" s="1451" t="s">
        <v>14</v>
      </c>
      <c r="J132" s="1451"/>
      <c r="K132" s="1204">
        <f>C132*F132</f>
        <v>0</v>
      </c>
      <c r="L132" s="1204"/>
      <c r="M132" s="204" t="s">
        <v>6</v>
      </c>
      <c r="N132" s="204"/>
      <c r="O132" s="205"/>
      <c r="P132" s="205"/>
      <c r="Q132" s="63"/>
      <c r="R132" s="206"/>
      <c r="S132" s="59"/>
      <c r="T132" s="27"/>
      <c r="U132" s="207"/>
      <c r="V132" s="27"/>
      <c r="W132" s="188"/>
      <c r="X132" s="189"/>
      <c r="Y132" s="208"/>
      <c r="Z132" s="163"/>
      <c r="AA132" s="26"/>
      <c r="AB132" s="26"/>
      <c r="AC132" s="494"/>
      <c r="AD132" s="26"/>
      <c r="AE132" s="489"/>
      <c r="AF132" s="237"/>
      <c r="AG132" s="26"/>
      <c r="AH132" s="26"/>
      <c r="AI132" s="173"/>
      <c r="AJ132" s="173"/>
      <c r="AK132" s="173"/>
      <c r="AL132" s="173"/>
      <c r="AM132" s="173"/>
      <c r="AN132" s="173"/>
      <c r="AO132" s="1298" t="s">
        <v>235</v>
      </c>
      <c r="AP132" s="1298"/>
      <c r="AQ132" s="1298"/>
      <c r="AR132" s="1298"/>
      <c r="AS132" s="350"/>
      <c r="AT132" s="1295" t="s">
        <v>230</v>
      </c>
      <c r="AU132" s="1295"/>
      <c r="AV132" s="350"/>
      <c r="AW132" s="350"/>
      <c r="AX132" s="321"/>
      <c r="AY132" s="1294" t="s">
        <v>230</v>
      </c>
      <c r="AZ132" s="1295"/>
      <c r="BA132" s="352"/>
      <c r="BB132" s="424"/>
      <c r="BC132" s="321"/>
      <c r="BD132" s="1302" t="s">
        <v>230</v>
      </c>
      <c r="BE132" s="1303"/>
      <c r="BF132" s="4" t="s">
        <v>261</v>
      </c>
      <c r="BH132" s="12"/>
      <c r="BI132" s="1303" t="s">
        <v>230</v>
      </c>
      <c r="BJ132" s="1303"/>
      <c r="BM132" s="12"/>
      <c r="BN132" s="1303" t="s">
        <v>230</v>
      </c>
      <c r="BO132" s="1303"/>
      <c r="BR132" s="449"/>
      <c r="BS132" s="12"/>
      <c r="BT132" s="12"/>
      <c r="BU132" s="12"/>
      <c r="BV132" s="12"/>
      <c r="BW132" s="12"/>
      <c r="BX132" s="4"/>
      <c r="BY132" s="26"/>
      <c r="BZ132" s="26"/>
      <c r="CA132" s="26"/>
      <c r="CB132" s="26"/>
      <c r="CC132" s="4"/>
      <c r="CD132" s="4"/>
      <c r="CE132" s="4"/>
      <c r="CF132" s="4"/>
      <c r="CG132" s="4"/>
      <c r="CH132" s="4"/>
      <c r="CI132" s="13"/>
    </row>
    <row r="133" spans="1:87" ht="18" customHeight="1">
      <c r="D133" s="101"/>
      <c r="E133" s="70"/>
      <c r="G133" s="9"/>
      <c r="H133" s="102"/>
      <c r="I133" s="5"/>
      <c r="J133" s="9"/>
      <c r="K133" s="18"/>
      <c r="M133" s="103"/>
      <c r="P133" s="103"/>
      <c r="Q133" s="70"/>
      <c r="R133" s="104"/>
      <c r="S133" s="68"/>
      <c r="T133" s="68"/>
      <c r="U133" s="68"/>
      <c r="V133" s="18"/>
      <c r="AA133" s="4"/>
      <c r="AB133" s="4"/>
      <c r="AC133" s="492"/>
      <c r="AD133" s="4"/>
      <c r="AE133" s="74"/>
      <c r="AF133" s="233"/>
      <c r="AG133" s="4"/>
      <c r="AH133" s="4"/>
      <c r="AI133" s="174"/>
      <c r="AJ133" s="174"/>
      <c r="AK133" s="174"/>
      <c r="AL133" s="174"/>
      <c r="AM133" s="174"/>
      <c r="AN133" s="173"/>
      <c r="AO133" s="370" t="s">
        <v>219</v>
      </c>
      <c r="AP133" s="1283" t="s">
        <v>234</v>
      </c>
      <c r="AQ133" s="1283"/>
      <c r="AR133" s="1283"/>
      <c r="AS133" s="372"/>
      <c r="AT133" s="1321" t="s">
        <v>220</v>
      </c>
      <c r="AU133" s="1321"/>
      <c r="AV133" s="1321"/>
      <c r="AW133" s="1321"/>
      <c r="AX133" s="321"/>
      <c r="AY133" s="419" t="s">
        <v>226</v>
      </c>
      <c r="AZ133" s="1290" t="s">
        <v>225</v>
      </c>
      <c r="BA133" s="1290"/>
      <c r="BB133" s="1291"/>
      <c r="BC133" s="321"/>
      <c r="BD133" s="1267" t="s">
        <v>264</v>
      </c>
      <c r="BE133" s="1268"/>
      <c r="BF133" s="1268"/>
      <c r="BG133" s="1268"/>
      <c r="BH133" s="12"/>
      <c r="BI133" s="440" t="s">
        <v>265</v>
      </c>
      <c r="BJ133" s="1269" t="s">
        <v>263</v>
      </c>
      <c r="BK133" s="1269"/>
      <c r="BL133" s="1269"/>
      <c r="BM133" s="12"/>
      <c r="BN133" s="12"/>
      <c r="BO133" s="143" t="s">
        <v>266</v>
      </c>
      <c r="BP133" s="12" t="s">
        <v>88</v>
      </c>
      <c r="BQ133" s="12"/>
      <c r="BR133" s="449"/>
      <c r="BS133" s="12"/>
      <c r="BT133" s="12"/>
      <c r="BU133" s="12"/>
      <c r="BV133" s="12"/>
      <c r="BW133" s="12"/>
      <c r="BX133" s="4"/>
      <c r="BY133" s="4"/>
      <c r="BZ133" s="4"/>
      <c r="CA133" s="4"/>
      <c r="CB133" s="4"/>
      <c r="CC133" s="4"/>
      <c r="CD133" s="4"/>
      <c r="CE133" s="4"/>
      <c r="CF133" s="4"/>
      <c r="CG133" s="4"/>
      <c r="CH133" s="4"/>
      <c r="CI133" s="13"/>
    </row>
    <row r="134" spans="1:87" ht="18" customHeight="1">
      <c r="A134" s="196" t="s">
        <v>54</v>
      </c>
      <c r="B134" s="1382">
        <f>B45</f>
        <v>0</v>
      </c>
      <c r="C134" s="1382"/>
      <c r="D134" s="1382"/>
      <c r="E134" s="198" t="s">
        <v>11</v>
      </c>
      <c r="F134" s="1412" t="s">
        <v>57</v>
      </c>
      <c r="G134" s="1412"/>
      <c r="H134" s="1469"/>
      <c r="I134" s="1449">
        <f>IF(I45=1,1,0)</f>
        <v>0</v>
      </c>
      <c r="J134" s="1450"/>
      <c r="K134" s="1373">
        <f>IF(H139=0,0,IF(K127=0, "加入月が未入力です!！",IF($L$176=$A$176,"限度超過額に達しているため計算不可能!!",IF(U136-U135=U137,"エラー名前を入力されているが加入月未入力!！",IF(H139&gt;K136,"加入月未入力エラー!！",0)))))</f>
        <v>0</v>
      </c>
      <c r="L134" s="1374"/>
      <c r="M134" s="1374"/>
      <c r="N134" s="1374"/>
      <c r="O134" s="1374"/>
      <c r="P134" s="1374"/>
      <c r="Q134" s="1374"/>
      <c r="R134" s="1374"/>
      <c r="S134" s="1375"/>
      <c r="T134" s="197" t="s">
        <v>47</v>
      </c>
      <c r="U134" s="1383">
        <f>IF(U139&gt;0,"支援分",0)</f>
        <v>0</v>
      </c>
      <c r="V134" s="1384"/>
      <c r="W134" s="1385" t="s">
        <v>46</v>
      </c>
      <c r="X134" s="1164"/>
      <c r="Y134" s="1164"/>
      <c r="Z134" s="1165"/>
      <c r="AB134" s="4"/>
      <c r="AC134" s="492"/>
      <c r="AD134" s="4"/>
      <c r="AE134" s="74"/>
      <c r="AF134" s="238" t="s">
        <v>117</v>
      </c>
      <c r="AG134" s="4"/>
      <c r="AH134" s="276">
        <f>IF(K136=0,0,IF(K136&lt;12,1,0))</f>
        <v>0</v>
      </c>
      <c r="AI134" s="174"/>
      <c r="AJ134" s="174"/>
      <c r="AK134" s="174"/>
      <c r="AL134" s="174"/>
      <c r="AM134" s="174"/>
      <c r="AN134" s="369" t="s">
        <v>147</v>
      </c>
      <c r="AO134" s="1205" t="s">
        <v>222</v>
      </c>
      <c r="AP134" s="1280"/>
      <c r="AQ134" s="1326">
        <f>IF(AR50=0,0,ROUNDDOWN(AR140/(AW51+AR140),8))</f>
        <v>0</v>
      </c>
      <c r="AR134" s="1327"/>
      <c r="AS134" s="373"/>
      <c r="AT134" s="1205" t="s">
        <v>215</v>
      </c>
      <c r="AU134" s="1280"/>
      <c r="AV134" s="1296">
        <f>IF($AG$2&gt;0,0,AR140-AR139)</f>
        <v>0</v>
      </c>
      <c r="AW134" s="1297"/>
      <c r="AX134" s="321"/>
      <c r="AY134" s="1279" t="s">
        <v>46</v>
      </c>
      <c r="AZ134" s="1280"/>
      <c r="BA134" s="1292">
        <f>IF(R136+R139=0,0,IF(K137&gt;K136,"期割がアンマッチ使用禁止↓",0))</f>
        <v>0</v>
      </c>
      <c r="BB134" s="1293"/>
      <c r="BC134" s="321"/>
      <c r="BD134" s="1272" t="s">
        <v>46</v>
      </c>
      <c r="BE134" s="1273"/>
      <c r="BF134" s="1304" t="s">
        <v>87</v>
      </c>
      <c r="BG134" s="1305"/>
      <c r="BH134" s="12"/>
      <c r="BI134" s="1139" t="s">
        <v>89</v>
      </c>
      <c r="BJ134" s="1273"/>
      <c r="BK134" s="441"/>
      <c r="BL134" s="442"/>
      <c r="BM134" s="12"/>
      <c r="BN134" s="1139" t="s">
        <v>46</v>
      </c>
      <c r="BO134" s="1273"/>
      <c r="BP134" s="1270"/>
      <c r="BQ134" s="1271"/>
      <c r="BR134" s="449"/>
      <c r="BS134" s="12"/>
      <c r="BT134" s="12"/>
      <c r="BU134" s="12"/>
      <c r="BV134" s="12"/>
      <c r="BW134" s="12"/>
      <c r="BX134" s="4"/>
      <c r="BY134" s="4"/>
      <c r="BZ134" s="4"/>
      <c r="CA134" s="4"/>
      <c r="CB134" s="4"/>
      <c r="CC134" s="4"/>
      <c r="CD134" s="4"/>
      <c r="CE134" s="4"/>
      <c r="CF134" s="4"/>
      <c r="CG134" s="4"/>
      <c r="CH134" s="4"/>
      <c r="CI134" s="13"/>
    </row>
    <row r="135" spans="1:87" ht="18" customHeight="1">
      <c r="A135" s="165"/>
      <c r="B135" s="12"/>
      <c r="C135" s="75" t="s">
        <v>33</v>
      </c>
      <c r="D135" s="12"/>
      <c r="E135" s="12"/>
      <c r="F135" s="12"/>
      <c r="G135" s="12"/>
      <c r="H135" s="50"/>
      <c r="I135" s="93"/>
      <c r="J135" s="12"/>
      <c r="K135" s="76" t="s">
        <v>9</v>
      </c>
      <c r="L135" s="12"/>
      <c r="M135" s="1414"/>
      <c r="N135" s="1414"/>
      <c r="O135" s="1414"/>
      <c r="P135" s="1414"/>
      <c r="Q135" s="1414"/>
      <c r="R135" s="1414"/>
      <c r="S135" s="1415"/>
      <c r="T135" s="72" t="s">
        <v>30</v>
      </c>
      <c r="U135" s="105">
        <f>R136+R139</f>
        <v>0</v>
      </c>
      <c r="V135" s="88" t="s">
        <v>6</v>
      </c>
      <c r="W135" s="80" t="s">
        <v>34</v>
      </c>
      <c r="X135" s="29">
        <f t="shared" ref="X135:X140" si="83">IF($AH$13&gt;0,0,AZ135)</f>
        <v>0</v>
      </c>
      <c r="Y135" s="80" t="s">
        <v>39</v>
      </c>
      <c r="Z135" s="31">
        <f>IF($AH$13&gt;0,0,BB135)</f>
        <v>0</v>
      </c>
      <c r="AA135" s="73"/>
      <c r="AB135" s="73"/>
      <c r="AC135" s="225"/>
      <c r="AD135" s="73"/>
      <c r="AE135" s="73"/>
      <c r="AF135" s="219">
        <f>AF136+AF139+AF142</f>
        <v>0</v>
      </c>
      <c r="AG135" s="73"/>
      <c r="AH135" s="191"/>
      <c r="AI135" s="175"/>
      <c r="AJ135" s="175"/>
      <c r="AK135" s="175"/>
      <c r="AL135" s="175"/>
      <c r="AM135" s="175"/>
      <c r="AN135" s="173"/>
      <c r="AO135" s="126" t="s">
        <v>34</v>
      </c>
      <c r="AP135" s="347">
        <f>ROUND((AP46-AP224)*AQ134,0)</f>
        <v>0</v>
      </c>
      <c r="AQ135" s="354" t="s">
        <v>39</v>
      </c>
      <c r="AR135" s="348">
        <f>ROUND((AR46-AR224)*AQ134,0)</f>
        <v>0</v>
      </c>
      <c r="AS135" s="374"/>
      <c r="AT135" s="126" t="s">
        <v>34</v>
      </c>
      <c r="AU135" s="347">
        <f>IF(AV134=0,0,IF(AV134&gt;=10,1,IF(AV134&lt;=-10,-1,0)))</f>
        <v>0</v>
      </c>
      <c r="AV135" s="354" t="s">
        <v>39</v>
      </c>
      <c r="AW135" s="348">
        <f>IF(AV134=0,0,IF(AV134&gt;=4,1,IF(AV134&lt;=-4,-1,0)))</f>
        <v>0</v>
      </c>
      <c r="AX135" s="321"/>
      <c r="AY135" s="260" t="s">
        <v>34</v>
      </c>
      <c r="AZ135" s="375">
        <f t="shared" ref="AZ135:AZ140" si="84">IF($AG$2&gt;0,"限度超過",IF($A$176=$L$176,"限度超過",AP135+AU135))</f>
        <v>0</v>
      </c>
      <c r="BA135" s="322" t="s">
        <v>39</v>
      </c>
      <c r="BB135" s="127">
        <f>IF($AG$2&gt;0,"限度超過",IF($A$176=$L$176,"限度超過",AR135+AW135))</f>
        <v>0</v>
      </c>
      <c r="BC135" s="321"/>
      <c r="BD135" s="451" t="s">
        <v>34</v>
      </c>
      <c r="BE135" s="81">
        <f t="shared" ref="BE135:BE140" si="85">BE125</f>
        <v>0</v>
      </c>
      <c r="BF135" s="82" t="s">
        <v>39</v>
      </c>
      <c r="BG135" s="29">
        <f>BG125</f>
        <v>0</v>
      </c>
      <c r="BH135" s="12"/>
      <c r="BI135" s="80" t="s">
        <v>34</v>
      </c>
      <c r="BJ135" s="29">
        <f t="shared" ref="BJ135:BJ140" si="86">IF($A$176=$L$176,"限度超過",IF(BE135=0,0,BE135/$S$94))</f>
        <v>0</v>
      </c>
      <c r="BK135" s="80" t="s">
        <v>39</v>
      </c>
      <c r="BL135" s="29">
        <f>IF($A$176=$L$176,"限度超過",IF(BG135=0,0,BG135/$S$94))</f>
        <v>0</v>
      </c>
      <c r="BM135" s="12"/>
      <c r="BN135" s="30" t="s">
        <v>34</v>
      </c>
      <c r="BO135" s="29">
        <f t="shared" ref="BO135:BO140" si="87">IF($A$176=$L$176,"限度超過",IF($S$94&lt;=3,0,BJ135))</f>
        <v>0</v>
      </c>
      <c r="BP135" s="80" t="s">
        <v>39</v>
      </c>
      <c r="BQ135" s="29">
        <f>IF($A$176=$L$176,"限度超過",IF($S$94&lt;=3,0,BL135))</f>
        <v>0</v>
      </c>
      <c r="BR135" s="449"/>
      <c r="BS135" s="12"/>
      <c r="BT135" s="12"/>
      <c r="BU135" s="12"/>
      <c r="BV135" s="12"/>
      <c r="BW135" s="12"/>
      <c r="BX135" s="32"/>
      <c r="BY135" s="33" t="str">
        <f>BY125</f>
        <v>料率</v>
      </c>
      <c r="BZ135" s="33">
        <f>BZ125</f>
        <v>7</v>
      </c>
      <c r="CA135" s="33">
        <f>CA125</f>
        <v>5</v>
      </c>
      <c r="CB135" s="33">
        <f>CB125</f>
        <v>2</v>
      </c>
      <c r="CC135" s="713" t="s">
        <v>467</v>
      </c>
      <c r="CD135" s="4"/>
      <c r="CE135" s="4"/>
      <c r="CF135" s="4"/>
      <c r="CG135" s="4"/>
      <c r="CH135" s="4"/>
      <c r="CI135" s="13"/>
    </row>
    <row r="136" spans="1:87" ht="18" customHeight="1">
      <c r="A136" s="1421" t="s">
        <v>0</v>
      </c>
      <c r="B136" s="1448" t="s">
        <v>129</v>
      </c>
      <c r="C136" s="1376">
        <f>C47</f>
        <v>0</v>
      </c>
      <c r="D136" s="855" t="s">
        <v>58</v>
      </c>
      <c r="E136" s="1416">
        <f>IF(H139&gt;0,$CE$100, 0)</f>
        <v>0</v>
      </c>
      <c r="F136" s="1380" t="s">
        <v>22</v>
      </c>
      <c r="G136" s="855" t="s">
        <v>59</v>
      </c>
      <c r="H136" s="85">
        <f>IF(H139&gt;0,$CE$96,0)</f>
        <v>0</v>
      </c>
      <c r="I136" s="1277" t="s">
        <v>22</v>
      </c>
      <c r="J136" s="855" t="s">
        <v>59</v>
      </c>
      <c r="K136" s="51">
        <f>K47</f>
        <v>0</v>
      </c>
      <c r="L136" s="52" t="s">
        <v>5</v>
      </c>
      <c r="M136" s="1380"/>
      <c r="N136" s="1407"/>
      <c r="O136" s="86"/>
      <c r="P136" s="1377" t="s">
        <v>130</v>
      </c>
      <c r="Q136" s="1377"/>
      <c r="R136" s="1403">
        <f>ROUNDDOWN(IF(((C136-E136)*H136/H137)*K136/K137&lt;0,0,((C136-E136)*H136/H137)*K136/K137),0)</f>
        <v>0</v>
      </c>
      <c r="S136" s="1381" t="s">
        <v>6</v>
      </c>
      <c r="T136" s="72" t="s">
        <v>1</v>
      </c>
      <c r="U136" s="105">
        <f>IF(H139=0,0,K142)</f>
        <v>0</v>
      </c>
      <c r="V136" s="88" t="s">
        <v>6</v>
      </c>
      <c r="W136" s="30" t="s">
        <v>35</v>
      </c>
      <c r="X136" s="29">
        <f t="shared" si="83"/>
        <v>0</v>
      </c>
      <c r="Y136" s="30" t="s">
        <v>40</v>
      </c>
      <c r="Z136" s="31">
        <f>IF($AH$13&gt;0,0,BB136)</f>
        <v>0</v>
      </c>
      <c r="AA136" s="26"/>
      <c r="AB136" s="26"/>
      <c r="AC136" s="494"/>
      <c r="AD136" s="26"/>
      <c r="AE136" s="489"/>
      <c r="AF136" s="1386">
        <f>ROUNDDOWN(IF(((C136-E136)*H136/H137)&lt;0,0,((C136-E136)*H136/H137)),0)</f>
        <v>0</v>
      </c>
      <c r="AG136" s="26"/>
      <c r="AH136" s="26"/>
      <c r="AI136" s="173"/>
      <c r="AJ136" s="179"/>
      <c r="AK136" s="179"/>
      <c r="AL136" s="179"/>
      <c r="AM136" s="179"/>
      <c r="AN136" s="174"/>
      <c r="AO136" s="126" t="s">
        <v>35</v>
      </c>
      <c r="AP136" s="347">
        <f>ROUND((AP47-AP225)*AQ134,0)</f>
        <v>0</v>
      </c>
      <c r="AQ136" s="354" t="s">
        <v>40</v>
      </c>
      <c r="AR136" s="348">
        <f>ROUND((AR47-AR225)*AQ134,0)</f>
        <v>0</v>
      </c>
      <c r="AS136" s="374"/>
      <c r="AT136" s="126" t="s">
        <v>35</v>
      </c>
      <c r="AU136" s="347">
        <f>IF(AV134=0,0,IF(AV134&gt;=9,1,IF(AV134&lt;=-9,-1,0)))</f>
        <v>0</v>
      </c>
      <c r="AV136" s="354" t="s">
        <v>40</v>
      </c>
      <c r="AW136" s="348">
        <f>IF(AV134=0,0,IF(AV134&gt;=3,1,IF(AV134&lt;=-3,-1,0)))</f>
        <v>0</v>
      </c>
      <c r="AX136" s="321"/>
      <c r="AY136" s="264" t="s">
        <v>35</v>
      </c>
      <c r="AZ136" s="375">
        <f t="shared" si="84"/>
        <v>0</v>
      </c>
      <c r="BA136" s="322" t="s">
        <v>40</v>
      </c>
      <c r="BB136" s="127">
        <f>IF($AG$2&gt;0,"限度超過",IF($A$176=$L$176,"限度超過",AR136+AW136))</f>
        <v>0</v>
      </c>
      <c r="BC136" s="321"/>
      <c r="BD136" s="451" t="s">
        <v>35</v>
      </c>
      <c r="BE136" s="81">
        <f t="shared" si="85"/>
        <v>0</v>
      </c>
      <c r="BF136" s="82" t="s">
        <v>40</v>
      </c>
      <c r="BG136" s="29">
        <f>BG126</f>
        <v>0</v>
      </c>
      <c r="BH136" s="12"/>
      <c r="BI136" s="30" t="s">
        <v>35</v>
      </c>
      <c r="BJ136" s="29">
        <f t="shared" si="86"/>
        <v>0</v>
      </c>
      <c r="BK136" s="30" t="s">
        <v>40</v>
      </c>
      <c r="BL136" s="29">
        <f>IF($A$176=$L$176,"限度超過",IF(BG136=0,0,BG136/$S$94))</f>
        <v>0</v>
      </c>
      <c r="BM136" s="12"/>
      <c r="BN136" s="30" t="s">
        <v>35</v>
      </c>
      <c r="BO136" s="29">
        <f t="shared" si="87"/>
        <v>0</v>
      </c>
      <c r="BP136" s="30" t="s">
        <v>40</v>
      </c>
      <c r="BQ136" s="29">
        <f>IF($A$176=$L$176,"限度超過",IF($S$94&lt;=3,0,BL136))</f>
        <v>0</v>
      </c>
      <c r="BR136" s="449"/>
      <c r="BS136" s="12"/>
      <c r="BT136" s="12"/>
      <c r="BU136" s="12"/>
      <c r="BV136" s="12"/>
      <c r="BW136" s="12"/>
      <c r="BX136" s="32" t="s">
        <v>17</v>
      </c>
      <c r="BY136" s="44">
        <v>0</v>
      </c>
      <c r="BZ136" s="45">
        <f>$CF$97</f>
        <v>6420</v>
      </c>
      <c r="CA136" s="45">
        <f>$CG$97</f>
        <v>4590</v>
      </c>
      <c r="CB136" s="45">
        <f>$CH$97</f>
        <v>1840</v>
      </c>
      <c r="CC136" s="713"/>
      <c r="CD136" s="4"/>
      <c r="CE136" s="4"/>
      <c r="CF136" s="4"/>
      <c r="CG136" s="4"/>
      <c r="CH136" s="4"/>
      <c r="CI136" s="13"/>
    </row>
    <row r="137" spans="1:87" ht="18" customHeight="1">
      <c r="A137" s="1421"/>
      <c r="B137" s="1448"/>
      <c r="C137" s="1376"/>
      <c r="D137" s="855"/>
      <c r="E137" s="1416"/>
      <c r="F137" s="1380"/>
      <c r="G137" s="855"/>
      <c r="H137" s="39">
        <v>100</v>
      </c>
      <c r="I137" s="1277"/>
      <c r="J137" s="855"/>
      <c r="K137" s="55">
        <v>12</v>
      </c>
      <c r="L137" s="12" t="s">
        <v>5</v>
      </c>
      <c r="M137" s="1380"/>
      <c r="N137" s="1407"/>
      <c r="O137" s="86"/>
      <c r="P137" s="1377"/>
      <c r="Q137" s="1377"/>
      <c r="R137" s="1403"/>
      <c r="S137" s="1381"/>
      <c r="T137" s="72" t="s">
        <v>29</v>
      </c>
      <c r="U137" s="105">
        <f>U135+U136</f>
        <v>0</v>
      </c>
      <c r="V137" s="88" t="s">
        <v>6</v>
      </c>
      <c r="W137" s="30" t="s">
        <v>36</v>
      </c>
      <c r="X137" s="29">
        <f t="shared" si="83"/>
        <v>0</v>
      </c>
      <c r="Y137" s="30" t="s">
        <v>41</v>
      </c>
      <c r="Z137" s="31">
        <f>IF($AH$13&gt;0,0,BB137)</f>
        <v>0</v>
      </c>
      <c r="AA137" s="26"/>
      <c r="AB137" s="26"/>
      <c r="AC137" s="494"/>
      <c r="AD137" s="26"/>
      <c r="AE137" s="489"/>
      <c r="AF137" s="1363"/>
      <c r="AG137" s="26"/>
      <c r="AH137" s="26"/>
      <c r="AI137" s="173"/>
      <c r="AJ137" s="179"/>
      <c r="AK137" s="179"/>
      <c r="AL137" s="179"/>
      <c r="AM137" s="179"/>
      <c r="AN137" s="174"/>
      <c r="AO137" s="126" t="s">
        <v>36</v>
      </c>
      <c r="AP137" s="347">
        <f>ROUND((AP48-AP226)*AQ134,0)</f>
        <v>0</v>
      </c>
      <c r="AQ137" s="354" t="s">
        <v>41</v>
      </c>
      <c r="AR137" s="348">
        <f>ROUND((AR48-AR226)*AQ134,0)</f>
        <v>0</v>
      </c>
      <c r="AS137" s="353"/>
      <c r="AT137" s="126" t="s">
        <v>36</v>
      </c>
      <c r="AU137" s="347">
        <f>IF(AV134=0,0,IF(AV134&gt;=8,1,IF(AV134&lt;=-8,-1,0)))</f>
        <v>0</v>
      </c>
      <c r="AV137" s="354" t="s">
        <v>41</v>
      </c>
      <c r="AW137" s="348">
        <f>IF(AV134=0,0,IF(AV134&gt;=2,1,IF(AV134&lt;=-2,-1,0)))</f>
        <v>0</v>
      </c>
      <c r="AX137" s="321"/>
      <c r="AY137" s="264" t="s">
        <v>36</v>
      </c>
      <c r="AZ137" s="375">
        <f t="shared" si="84"/>
        <v>0</v>
      </c>
      <c r="BA137" s="322" t="s">
        <v>41</v>
      </c>
      <c r="BB137" s="127">
        <f>IF($AG$2&gt;0,"限度超過",IF($A$176=$L$176,"限度超過",AR137+AW137))</f>
        <v>0</v>
      </c>
      <c r="BC137" s="321"/>
      <c r="BD137" s="451" t="s">
        <v>36</v>
      </c>
      <c r="BE137" s="81">
        <f t="shared" si="85"/>
        <v>0</v>
      </c>
      <c r="BF137" s="82" t="s">
        <v>41</v>
      </c>
      <c r="BG137" s="29">
        <f>BG127</f>
        <v>0</v>
      </c>
      <c r="BH137" s="12"/>
      <c r="BI137" s="30" t="s">
        <v>36</v>
      </c>
      <c r="BJ137" s="29">
        <f t="shared" si="86"/>
        <v>0</v>
      </c>
      <c r="BK137" s="30" t="s">
        <v>41</v>
      </c>
      <c r="BL137" s="29">
        <f>IF($A$176=$L$176,"限度超過",IF(BG137=0,0,BG137/$S$94))</f>
        <v>0</v>
      </c>
      <c r="BM137" s="12"/>
      <c r="BN137" s="30" t="s">
        <v>36</v>
      </c>
      <c r="BO137" s="29">
        <f t="shared" si="87"/>
        <v>0</v>
      </c>
      <c r="BP137" s="30" t="s">
        <v>41</v>
      </c>
      <c r="BQ137" s="29">
        <f>IF($A$176=$L$176,"限度超過",IF($S$94&lt;=3,0,BL137))</f>
        <v>0</v>
      </c>
      <c r="BR137" s="449"/>
      <c r="BS137" s="12"/>
      <c r="BT137" s="12"/>
      <c r="BU137" s="12"/>
      <c r="BV137" s="12"/>
      <c r="BW137" s="12"/>
      <c r="BX137" s="32" t="s">
        <v>8</v>
      </c>
      <c r="BY137" s="45">
        <f>K139</f>
        <v>0</v>
      </c>
      <c r="BZ137" s="45">
        <f t="shared" ref="BZ137:CB139" si="88">BY137</f>
        <v>0</v>
      </c>
      <c r="CA137" s="45">
        <f t="shared" si="88"/>
        <v>0</v>
      </c>
      <c r="CB137" s="45">
        <f t="shared" si="88"/>
        <v>0</v>
      </c>
      <c r="CC137" s="713">
        <f>CB137</f>
        <v>0</v>
      </c>
      <c r="CD137" s="4"/>
      <c r="CE137" s="4"/>
      <c r="CF137" s="4"/>
      <c r="CG137" s="4"/>
      <c r="CH137" s="4"/>
      <c r="CI137" s="13"/>
    </row>
    <row r="138" spans="1:87" ht="18" customHeight="1">
      <c r="A138" s="165"/>
      <c r="B138" s="12"/>
      <c r="C138" s="50"/>
      <c r="D138" s="12"/>
      <c r="E138" s="12"/>
      <c r="F138" s="12"/>
      <c r="G138" s="12"/>
      <c r="H138" s="91"/>
      <c r="I138" s="75"/>
      <c r="J138" s="75"/>
      <c r="K138" s="92"/>
      <c r="L138" s="75"/>
      <c r="M138" s="93"/>
      <c r="N138" s="714" t="str">
        <f>IF(入力画面!E27=1,"未就学児",0)</f>
        <v>未就学児</v>
      </c>
      <c r="O138" s="42">
        <f>IF(H139=0,0,$D$94)</f>
        <v>0</v>
      </c>
      <c r="P138" s="466">
        <f>IF(O139=0,0,"軽減額")</f>
        <v>0</v>
      </c>
      <c r="Q138" s="12"/>
      <c r="R138" s="95"/>
      <c r="S138" s="183"/>
      <c r="T138" s="96" t="s">
        <v>31</v>
      </c>
      <c r="U138" s="105">
        <f>ROUNDDOWN(U137,-2)</f>
        <v>0</v>
      </c>
      <c r="V138" s="88" t="s">
        <v>6</v>
      </c>
      <c r="W138" s="30" t="s">
        <v>43</v>
      </c>
      <c r="X138" s="29">
        <f t="shared" si="83"/>
        <v>0</v>
      </c>
      <c r="Y138" s="30" t="s">
        <v>42</v>
      </c>
      <c r="Z138" s="31">
        <f>IF($AH$13&gt;0,0,BB138)</f>
        <v>0</v>
      </c>
      <c r="AA138" s="26"/>
      <c r="AB138" s="26"/>
      <c r="AC138" s="494"/>
      <c r="AD138" s="26"/>
      <c r="AE138" s="500" t="str">
        <f>IF($AH$13&gt;0,"－",IF($AG$2&gt;0,"限度超過",IF(U139=Z139,"OK","ｱﾝﾏｯﾁ")))</f>
        <v>OK</v>
      </c>
      <c r="AF138" s="499"/>
      <c r="AG138" s="26"/>
      <c r="AI138" s="173"/>
      <c r="AJ138" s="173"/>
      <c r="AK138" s="173"/>
      <c r="AL138" s="173"/>
      <c r="AM138" s="173"/>
      <c r="AN138" s="174"/>
      <c r="AO138" s="126" t="s">
        <v>43</v>
      </c>
      <c r="AP138" s="347">
        <f>ROUND((AP49-AP227)*AQ134,0)</f>
        <v>0</v>
      </c>
      <c r="AQ138" s="354" t="s">
        <v>42</v>
      </c>
      <c r="AR138" s="348">
        <f>ROUND((AR49-AR227)*AQ134,0)</f>
        <v>0</v>
      </c>
      <c r="AS138" s="353"/>
      <c r="AT138" s="126" t="s">
        <v>43</v>
      </c>
      <c r="AU138" s="347">
        <f>IF(AV134=0,0,IF(AV134&gt;=7,1,IF(AV134&lt;=-7,-1,0)))</f>
        <v>0</v>
      </c>
      <c r="AV138" s="354" t="s">
        <v>42</v>
      </c>
      <c r="AW138" s="348">
        <f>IF(AV134=0,0,IF(AV134&gt;=1,1,IF(AV134&lt;=-1,-1,0)))</f>
        <v>0</v>
      </c>
      <c r="AX138" s="321"/>
      <c r="AY138" s="264" t="s">
        <v>43</v>
      </c>
      <c r="AZ138" s="375">
        <f t="shared" si="84"/>
        <v>0</v>
      </c>
      <c r="BA138" s="322" t="s">
        <v>42</v>
      </c>
      <c r="BB138" s="127">
        <f>IF($AG$2&gt;0,"限度超過",IF($A$176=$L$176,"限度超過",AR138+AW138))</f>
        <v>0</v>
      </c>
      <c r="BC138" s="321"/>
      <c r="BD138" s="451" t="s">
        <v>43</v>
      </c>
      <c r="BE138" s="81">
        <f t="shared" si="85"/>
        <v>0</v>
      </c>
      <c r="BF138" s="82" t="s">
        <v>42</v>
      </c>
      <c r="BG138" s="29">
        <f>BG128</f>
        <v>0</v>
      </c>
      <c r="BH138" s="12"/>
      <c r="BI138" s="30" t="s">
        <v>43</v>
      </c>
      <c r="BJ138" s="29">
        <f t="shared" si="86"/>
        <v>0</v>
      </c>
      <c r="BK138" s="30" t="s">
        <v>42</v>
      </c>
      <c r="BL138" s="29">
        <f>IF($A$176=$L$176,"限度超過",IF(BG138=0,0,BG138/$S$94))</f>
        <v>0</v>
      </c>
      <c r="BM138" s="12"/>
      <c r="BN138" s="30" t="s">
        <v>43</v>
      </c>
      <c r="BO138" s="29">
        <f t="shared" si="87"/>
        <v>0</v>
      </c>
      <c r="BP138" s="30" t="s">
        <v>42</v>
      </c>
      <c r="BQ138" s="29">
        <f>IF($A$176=$L$176,"限度超過",IF($S$94&lt;=3,0,BL138))</f>
        <v>0</v>
      </c>
      <c r="BR138" s="449"/>
      <c r="BS138" s="12"/>
      <c r="BT138" s="12"/>
      <c r="BU138" s="12"/>
      <c r="BV138" s="12"/>
      <c r="BW138" s="12"/>
      <c r="BX138" s="32" t="s">
        <v>25</v>
      </c>
      <c r="BY138" s="45">
        <f>K140</f>
        <v>0</v>
      </c>
      <c r="BZ138" s="45">
        <f t="shared" si="88"/>
        <v>0</v>
      </c>
      <c r="CA138" s="45">
        <f t="shared" si="88"/>
        <v>0</v>
      </c>
      <c r="CB138" s="45">
        <f t="shared" si="88"/>
        <v>0</v>
      </c>
      <c r="CC138" s="713">
        <f>CB138</f>
        <v>0</v>
      </c>
      <c r="CD138" s="4"/>
      <c r="CE138" s="4"/>
      <c r="CF138" s="4"/>
      <c r="CG138" s="4"/>
      <c r="CH138" s="4"/>
      <c r="CI138" s="13"/>
    </row>
    <row r="139" spans="1:87" ht="18" customHeight="1">
      <c r="A139" s="1421" t="s">
        <v>10</v>
      </c>
      <c r="B139" s="12"/>
      <c r="C139" s="12"/>
      <c r="D139" s="1419" t="s">
        <v>7</v>
      </c>
      <c r="E139" s="1416">
        <f>IF(H139&gt;0,$CE$97,0)</f>
        <v>0</v>
      </c>
      <c r="F139" s="97"/>
      <c r="G139" s="855" t="s">
        <v>59</v>
      </c>
      <c r="H139" s="1413">
        <f>IF(B134=0,0,SUBTOTAL(3,B134))</f>
        <v>0</v>
      </c>
      <c r="I139" s="1277" t="s">
        <v>22</v>
      </c>
      <c r="J139" s="855" t="s">
        <v>59</v>
      </c>
      <c r="K139" s="51">
        <f>IF(H139&gt;0,K136,0)</f>
        <v>0</v>
      </c>
      <c r="L139" s="52" t="s">
        <v>5</v>
      </c>
      <c r="M139" s="1407" t="s">
        <v>122</v>
      </c>
      <c r="N139" s="1402">
        <f>IF(O139=0,0,"―")</f>
        <v>0</v>
      </c>
      <c r="O139" s="1404">
        <f>IF(H139=0,0,IF(BY141=0,IF($D$94=7,BZ140,IF($D$94=5,CA140,IF($D$94=2,CB140,CC140))),IF($D$94=7,BZ140+BZ141,IF($D$94=5,CA140+CA141,IF($D$94=2,CB140+CB141,CC140+CC141)))))</f>
        <v>0</v>
      </c>
      <c r="P139" s="1405"/>
      <c r="Q139" s="1377" t="s">
        <v>130</v>
      </c>
      <c r="R139" s="1403">
        <f>IF(H139&gt;0,IF(K136=0,0,ROUNDDOWN(((E139*H139)*K139/K140)-O139,0)),0)</f>
        <v>0</v>
      </c>
      <c r="S139" s="1381" t="s">
        <v>6</v>
      </c>
      <c r="T139" s="1207" t="s">
        <v>32</v>
      </c>
      <c r="U139" s="1458">
        <f>IF($L$176=$A$176,"限度超過!",U137)</f>
        <v>0</v>
      </c>
      <c r="V139" s="1470" t="s">
        <v>6</v>
      </c>
      <c r="W139" s="30" t="s">
        <v>37</v>
      </c>
      <c r="X139" s="29">
        <f t="shared" si="83"/>
        <v>0</v>
      </c>
      <c r="Y139" s="1199" t="s">
        <v>44</v>
      </c>
      <c r="Z139" s="1394">
        <f>IF($AH$13&gt;0,0,BB139)</f>
        <v>0</v>
      </c>
      <c r="AA139" s="26"/>
      <c r="AB139" s="26"/>
      <c r="AC139" s="494"/>
      <c r="AD139" s="26"/>
      <c r="AE139" s="500" t="str">
        <f>IF($AG$2&gt;0,"限度超過",IF(X135+X136+X137+X138+X139+X140+Z135+Z136+Z137+Z138=Z139,"OK","エラー"))</f>
        <v>OK</v>
      </c>
      <c r="AF139" s="1362">
        <f>IF(H139&gt;0,IF(K136=0,0,ROUNDDOWN((E139*H139)-O139,0)),0)</f>
        <v>0</v>
      </c>
      <c r="AG139" s="26"/>
      <c r="AI139" s="173"/>
      <c r="AJ139" s="173"/>
      <c r="AK139" s="173"/>
      <c r="AL139" s="173"/>
      <c r="AM139" s="173"/>
      <c r="AN139" s="174"/>
      <c r="AO139" s="126" t="s">
        <v>37</v>
      </c>
      <c r="AP139" s="347">
        <f>ROUND((AP50-AP228)*AQ134,0)</f>
        <v>0</v>
      </c>
      <c r="AQ139" s="355" t="s">
        <v>44</v>
      </c>
      <c r="AR139" s="349">
        <f>AP135+AP136+AP137+AP138+AP139+AP140+AR135+AR136+AR137+AR138</f>
        <v>0</v>
      </c>
      <c r="AS139" s="353"/>
      <c r="AT139" s="126" t="s">
        <v>37</v>
      </c>
      <c r="AU139" s="347">
        <f>IF(AV134=0,0,IF(AV134&gt;=6,1,IF(AV134&lt;=-6,-1,0)))</f>
        <v>0</v>
      </c>
      <c r="AV139" s="355" t="s">
        <v>44</v>
      </c>
      <c r="AW139" s="356">
        <f>AU135+AU136+AU137+AU138+AU139+AU140+AW135+AW136+AW137+AW138</f>
        <v>0</v>
      </c>
      <c r="AX139" s="321"/>
      <c r="AY139" s="264" t="s">
        <v>37</v>
      </c>
      <c r="AZ139" s="375">
        <f t="shared" si="84"/>
        <v>0</v>
      </c>
      <c r="BA139" s="323" t="s">
        <v>44</v>
      </c>
      <c r="BB139" s="420">
        <f>IF($AG$2&gt;0,"限度超過",AZ135+AZ136+AZ137+AZ138+AZ139+AZ140+BB135+BB136+BB137+BB138)</f>
        <v>0</v>
      </c>
      <c r="BC139" s="321"/>
      <c r="BD139" s="451" t="s">
        <v>37</v>
      </c>
      <c r="BE139" s="81">
        <f t="shared" si="85"/>
        <v>0</v>
      </c>
      <c r="BF139" s="443" t="s">
        <v>44</v>
      </c>
      <c r="BG139" s="29">
        <f>IF($A$176=$L$176,"限度超過",BE135+BE136+BE137+BE138+BE139+BE140+BG135+BG136+BG137+BG138)</f>
        <v>0</v>
      </c>
      <c r="BH139" s="12"/>
      <c r="BI139" s="30" t="s">
        <v>37</v>
      </c>
      <c r="BJ139" s="29">
        <f t="shared" si="86"/>
        <v>0</v>
      </c>
      <c r="BK139" s="98" t="s">
        <v>44</v>
      </c>
      <c r="BL139" s="29">
        <f>IF($A$176=$L$176,"限度超過",BJ135+BJ136+BJ137+BJ138+BJ139+BJ140+BL135+BL136+BL137+BL138)</f>
        <v>0</v>
      </c>
      <c r="BM139" s="12"/>
      <c r="BN139" s="30" t="s">
        <v>37</v>
      </c>
      <c r="BO139" s="29">
        <f t="shared" si="87"/>
        <v>0</v>
      </c>
      <c r="BP139" s="98" t="s">
        <v>44</v>
      </c>
      <c r="BQ139" s="29">
        <f>IF($A$176=$L$176,"限度超過",BO135+BO136+BO137+BO138+BO139+BO140+BQ135+BQ136+BQ137+BQ138)</f>
        <v>0</v>
      </c>
      <c r="BR139" s="449"/>
      <c r="BS139" s="12"/>
      <c r="BT139" s="12"/>
      <c r="BU139" s="12"/>
      <c r="BV139" s="12"/>
      <c r="BW139" s="12"/>
      <c r="BX139" s="32" t="s">
        <v>26</v>
      </c>
      <c r="BY139" s="26">
        <f>H139</f>
        <v>0</v>
      </c>
      <c r="BZ139" s="99">
        <f t="shared" si="88"/>
        <v>0</v>
      </c>
      <c r="CA139" s="99">
        <f t="shared" si="88"/>
        <v>0</v>
      </c>
      <c r="CB139" s="99">
        <f t="shared" si="88"/>
        <v>0</v>
      </c>
      <c r="CC139" s="713">
        <f>CB139</f>
        <v>0</v>
      </c>
      <c r="CD139" s="4"/>
      <c r="CE139" s="4"/>
      <c r="CF139" s="4"/>
      <c r="CG139" s="4"/>
      <c r="CH139" s="4"/>
      <c r="CI139" s="13"/>
    </row>
    <row r="140" spans="1:87" ht="18" customHeight="1">
      <c r="A140" s="1421"/>
      <c r="B140" s="12"/>
      <c r="C140" s="12"/>
      <c r="D140" s="1419"/>
      <c r="E140" s="1416"/>
      <c r="F140" s="12"/>
      <c r="G140" s="855"/>
      <c r="H140" s="1413"/>
      <c r="I140" s="1277"/>
      <c r="J140" s="855"/>
      <c r="K140" s="180">
        <f>IF(H139&gt;0,K137,0)</f>
        <v>0</v>
      </c>
      <c r="L140" s="12" t="s">
        <v>5</v>
      </c>
      <c r="M140" s="1407"/>
      <c r="N140" s="1402"/>
      <c r="O140" s="1405"/>
      <c r="P140" s="1405"/>
      <c r="Q140" s="1377"/>
      <c r="R140" s="1403"/>
      <c r="S140" s="1381"/>
      <c r="T140" s="1411"/>
      <c r="U140" s="1459"/>
      <c r="V140" s="1471"/>
      <c r="W140" s="30" t="s">
        <v>38</v>
      </c>
      <c r="X140" s="29">
        <f t="shared" si="83"/>
        <v>0</v>
      </c>
      <c r="Y140" s="1368"/>
      <c r="Z140" s="1395"/>
      <c r="AA140" s="26"/>
      <c r="AB140" s="26"/>
      <c r="AC140" s="494"/>
      <c r="AD140" s="26"/>
      <c r="AE140" s="489"/>
      <c r="AF140" s="1363"/>
      <c r="AG140" s="26"/>
      <c r="AH140" s="26"/>
      <c r="AI140" s="173"/>
      <c r="AJ140" s="173"/>
      <c r="AK140" s="173"/>
      <c r="AL140" s="173"/>
      <c r="AM140" s="173"/>
      <c r="AN140" s="174"/>
      <c r="AO140" s="126" t="s">
        <v>38</v>
      </c>
      <c r="AP140" s="347">
        <f>ROUND((AP51-AP229)*AQ134,0)</f>
        <v>0</v>
      </c>
      <c r="AQ140" s="354" t="s">
        <v>75</v>
      </c>
      <c r="AR140" s="333">
        <f>IF($AG$2&gt;0,"限度超過",U139)</f>
        <v>0</v>
      </c>
      <c r="AS140" s="350"/>
      <c r="AT140" s="126" t="s">
        <v>38</v>
      </c>
      <c r="AU140" s="347">
        <f>IF(AV134=0,0,IF(AV134&gt;=5,1,IF(AV134&lt;=-5,-1,0)))</f>
        <v>0</v>
      </c>
      <c r="AV140" s="354"/>
      <c r="AW140" s="357" t="str">
        <f>IF(AU135+AU136+AU137+AU138+AU139+AU140+AW135+AW136+AW137+AW138=AV134,"計算ＯＫ","エラー発生")</f>
        <v>計算ＯＫ</v>
      </c>
      <c r="AX140" s="321"/>
      <c r="AY140" s="264" t="s">
        <v>38</v>
      </c>
      <c r="AZ140" s="375">
        <f t="shared" si="84"/>
        <v>0</v>
      </c>
      <c r="BA140" s="322"/>
      <c r="BB140" s="421">
        <f>IF($AG$2&gt;0,"限度超過",IF($A$176=$L$176,"限度超過",$U$109))</f>
        <v>4100</v>
      </c>
      <c r="BC140" s="321"/>
      <c r="BD140" s="451" t="s">
        <v>38</v>
      </c>
      <c r="BE140" s="81">
        <f t="shared" si="85"/>
        <v>0</v>
      </c>
      <c r="BF140" s="82"/>
      <c r="BG140" s="100"/>
      <c r="BH140" s="12"/>
      <c r="BI140" s="30" t="s">
        <v>38</v>
      </c>
      <c r="BJ140" s="29">
        <f t="shared" si="86"/>
        <v>0</v>
      </c>
      <c r="BK140" s="30"/>
      <c r="BL140" s="100"/>
      <c r="BM140" s="12"/>
      <c r="BN140" s="30" t="s">
        <v>38</v>
      </c>
      <c r="BO140" s="29">
        <f t="shared" si="87"/>
        <v>0</v>
      </c>
      <c r="BP140" s="30"/>
      <c r="BQ140" s="100"/>
      <c r="BR140" s="449"/>
      <c r="BS140" s="12"/>
      <c r="BT140" s="12"/>
      <c r="BU140" s="12"/>
      <c r="BV140" s="12"/>
      <c r="BW140" s="12"/>
      <c r="BX140" s="67" t="s">
        <v>27</v>
      </c>
      <c r="BY140" s="45">
        <f>IF(BY139&gt;0,ROUNDDOWN(BY136*BY139*BY137/BY138,0),0)</f>
        <v>0</v>
      </c>
      <c r="BZ140" s="45">
        <f>IF(BZ139&gt;0,ROUNDDOWN(BZ136*BZ139*BZ137/BZ138,0),0)</f>
        <v>0</v>
      </c>
      <c r="CA140" s="45">
        <f>IF(CA139&gt;0,ROUNDDOWN(CA136*CA139*CA137/CA138,0),0)</f>
        <v>0</v>
      </c>
      <c r="CB140" s="45">
        <f>IF(CB139&gt;0,ROUNDDOWN(CB136*CB139*CB137/CB138,0),0)</f>
        <v>0</v>
      </c>
      <c r="CC140" s="713">
        <v>0</v>
      </c>
      <c r="CD140" s="4"/>
      <c r="CE140" s="4"/>
      <c r="CF140" s="4"/>
      <c r="CG140" s="4"/>
      <c r="CH140" s="4"/>
      <c r="CI140" s="13"/>
    </row>
    <row r="141" spans="1:87" ht="18" customHeight="1">
      <c r="A141" s="202"/>
      <c r="B141" s="75" t="s">
        <v>118</v>
      </c>
      <c r="C141" s="12"/>
      <c r="D141" s="160"/>
      <c r="E141" s="161"/>
      <c r="F141" s="12"/>
      <c r="G141" s="50"/>
      <c r="H141" s="162"/>
      <c r="I141" s="159"/>
      <c r="J141" s="50"/>
      <c r="K141" s="180"/>
      <c r="L141" s="12"/>
      <c r="M141" s="86"/>
      <c r="N141" s="86"/>
      <c r="O141" s="181"/>
      <c r="P141" s="181"/>
      <c r="Q141" s="156"/>
      <c r="R141" s="157"/>
      <c r="S141" s="49"/>
      <c r="T141" s="50"/>
      <c r="U141" s="182"/>
      <c r="V141" s="50"/>
      <c r="W141" s="4"/>
      <c r="X141" s="26"/>
      <c r="Y141" s="170"/>
      <c r="Z141" s="187"/>
      <c r="AA141" s="4"/>
      <c r="AB141" s="4"/>
      <c r="AC141" s="492"/>
      <c r="AD141" s="4"/>
      <c r="AE141" s="74"/>
      <c r="AF141" s="236"/>
      <c r="AG141" s="4"/>
      <c r="AH141" s="4"/>
      <c r="AI141" s="174"/>
      <c r="AJ141" s="174"/>
      <c r="AK141" s="174"/>
      <c r="AL141" s="174"/>
      <c r="AM141" s="174"/>
      <c r="AN141" s="174"/>
      <c r="AO141" s="351"/>
      <c r="AP141" s="351"/>
      <c r="AQ141" s="352"/>
      <c r="AR141" s="352"/>
      <c r="AS141" s="350"/>
      <c r="AT141" s="350"/>
      <c r="AU141" s="350"/>
      <c r="AV141" s="350"/>
      <c r="AW141" s="350"/>
      <c r="AX141" s="321"/>
      <c r="AY141" s="422"/>
      <c r="AZ141" s="351"/>
      <c r="BA141" s="352"/>
      <c r="BB141" s="467" t="str">
        <f>IF(BB139=BB140,"OK","エラー")</f>
        <v>エラー</v>
      </c>
      <c r="BC141" s="321"/>
      <c r="BD141" s="452"/>
      <c r="BF141" s="4" t="s">
        <v>260</v>
      </c>
      <c r="BH141" s="12"/>
      <c r="BM141" s="12"/>
      <c r="BR141" s="449"/>
      <c r="BS141" s="12"/>
      <c r="BT141" s="12"/>
      <c r="BU141" s="12"/>
      <c r="BV141" s="12"/>
      <c r="BW141" s="12"/>
      <c r="BX141" s="32" t="s">
        <v>468</v>
      </c>
      <c r="BY141" s="713">
        <f>IF(入力画面!E27=1,1,0)</f>
        <v>1</v>
      </c>
      <c r="BZ141" s="713" t="e">
        <f>IF($BY$141=1,ROUNDDOWN($CF$101*BZ137/BZ138,0),0)</f>
        <v>#DIV/0!</v>
      </c>
      <c r="CA141" s="713" t="e">
        <f>IF($BY$141=1,ROUNDDOWN($CG$101*CA137/CA138,0),0)</f>
        <v>#DIV/0!</v>
      </c>
      <c r="CB141" s="713" t="e">
        <f>IF($BY$141=1,ROUNDDOWN($CH$101*CB137/CB138,0),0)</f>
        <v>#DIV/0!</v>
      </c>
      <c r="CC141" s="713" t="e">
        <f>IF($BY$141=1,ROUNDDOWN($CE$101*CC137/CC138,0),0)</f>
        <v>#DIV/0!</v>
      </c>
      <c r="CD141" s="4"/>
      <c r="CE141" s="4"/>
      <c r="CF141" s="4"/>
      <c r="CG141" s="4"/>
      <c r="CH141" s="4"/>
      <c r="CI141" s="13"/>
    </row>
    <row r="142" spans="1:87" ht="18" customHeight="1">
      <c r="A142" s="58" t="s">
        <v>1</v>
      </c>
      <c r="B142" s="52"/>
      <c r="C142" s="189">
        <f>IF(H139&gt;0,$X$102,0)</f>
        <v>0</v>
      </c>
      <c r="D142" s="203" t="s">
        <v>6</v>
      </c>
      <c r="E142" s="60" t="s">
        <v>131</v>
      </c>
      <c r="F142" s="1204">
        <f>K136</f>
        <v>0</v>
      </c>
      <c r="G142" s="1204"/>
      <c r="H142" s="216" t="s">
        <v>5</v>
      </c>
      <c r="I142" s="1451" t="s">
        <v>14</v>
      </c>
      <c r="J142" s="1451"/>
      <c r="K142" s="1204">
        <f>C142*F142</f>
        <v>0</v>
      </c>
      <c r="L142" s="1204"/>
      <c r="M142" s="204" t="s">
        <v>6</v>
      </c>
      <c r="N142" s="204"/>
      <c r="O142" s="205"/>
      <c r="P142" s="205"/>
      <c r="Q142" s="63"/>
      <c r="R142" s="206"/>
      <c r="S142" s="59"/>
      <c r="T142" s="27"/>
      <c r="U142" s="207"/>
      <c r="V142" s="27"/>
      <c r="W142" s="188"/>
      <c r="X142" s="189"/>
      <c r="Y142" s="208"/>
      <c r="Z142" s="163"/>
      <c r="AB142" s="4"/>
      <c r="AC142" s="492"/>
      <c r="AD142" s="4"/>
      <c r="AE142" s="74"/>
      <c r="AF142" s="237"/>
      <c r="AG142" s="4"/>
      <c r="AH142" s="4"/>
      <c r="AI142" s="174"/>
      <c r="AJ142" s="174"/>
      <c r="AK142" s="174"/>
      <c r="AL142" s="174"/>
      <c r="AM142" s="174"/>
      <c r="AN142" s="174"/>
      <c r="AO142" s="1298" t="s">
        <v>235</v>
      </c>
      <c r="AP142" s="1298"/>
      <c r="AQ142" s="1298"/>
      <c r="AR142" s="1298"/>
      <c r="AS142" s="350"/>
      <c r="AT142" s="1295" t="s">
        <v>231</v>
      </c>
      <c r="AU142" s="1295"/>
      <c r="AV142" s="350"/>
      <c r="AW142" s="350"/>
      <c r="AX142" s="321"/>
      <c r="AY142" s="1294" t="s">
        <v>231</v>
      </c>
      <c r="AZ142" s="1295"/>
      <c r="BA142" s="352"/>
      <c r="BB142" s="424"/>
      <c r="BC142" s="321"/>
      <c r="BD142" s="1302" t="s">
        <v>231</v>
      </c>
      <c r="BE142" s="1303"/>
      <c r="BF142" s="4" t="s">
        <v>261</v>
      </c>
      <c r="BH142" s="12"/>
      <c r="BI142" s="1303" t="s">
        <v>231</v>
      </c>
      <c r="BJ142" s="1303"/>
      <c r="BM142" s="12"/>
      <c r="BN142" s="1303" t="s">
        <v>231</v>
      </c>
      <c r="BO142" s="1303"/>
      <c r="BR142" s="449"/>
      <c r="BS142" s="12"/>
      <c r="BT142" s="12"/>
      <c r="BU142" s="12"/>
      <c r="BV142" s="12"/>
      <c r="BW142" s="12"/>
      <c r="BX142" s="4"/>
      <c r="BY142" s="26"/>
      <c r="BZ142" s="26"/>
      <c r="CA142" s="26"/>
      <c r="CB142" s="26"/>
      <c r="CC142" s="4"/>
      <c r="CD142" s="4"/>
      <c r="CE142" s="4"/>
      <c r="CF142" s="4"/>
      <c r="CG142" s="4"/>
      <c r="CH142" s="4"/>
      <c r="CI142" s="13"/>
    </row>
    <row r="143" spans="1:87" ht="18" customHeight="1">
      <c r="D143" s="101"/>
      <c r="E143" s="70"/>
      <c r="G143" s="9"/>
      <c r="H143" s="102"/>
      <c r="I143" s="5"/>
      <c r="J143" s="9"/>
      <c r="K143" s="18"/>
      <c r="M143" s="103"/>
      <c r="P143" s="103"/>
      <c r="Q143" s="70"/>
      <c r="R143" s="104"/>
      <c r="S143" s="68"/>
      <c r="T143" s="68"/>
      <c r="U143" s="68"/>
      <c r="V143" s="18"/>
      <c r="AA143" s="26"/>
      <c r="AB143" s="26"/>
      <c r="AC143" s="494"/>
      <c r="AD143" s="26"/>
      <c r="AE143" s="489"/>
      <c r="AF143" s="233"/>
      <c r="AG143" s="26"/>
      <c r="AH143" s="26"/>
      <c r="AI143" s="173"/>
      <c r="AJ143" s="179"/>
      <c r="AK143" s="179"/>
      <c r="AL143" s="179"/>
      <c r="AM143" s="179"/>
      <c r="AN143" s="174"/>
      <c r="AO143" s="370" t="s">
        <v>219</v>
      </c>
      <c r="AP143" s="1283" t="s">
        <v>234</v>
      </c>
      <c r="AQ143" s="1283"/>
      <c r="AR143" s="1283"/>
      <c r="AS143" s="372"/>
      <c r="AT143" s="1321" t="s">
        <v>220</v>
      </c>
      <c r="AU143" s="1321"/>
      <c r="AV143" s="1321"/>
      <c r="AW143" s="1321"/>
      <c r="AX143" s="321"/>
      <c r="AY143" s="419" t="s">
        <v>226</v>
      </c>
      <c r="AZ143" s="1290" t="s">
        <v>225</v>
      </c>
      <c r="BA143" s="1290"/>
      <c r="BB143" s="1291"/>
      <c r="BC143" s="321"/>
      <c r="BD143" s="1267" t="s">
        <v>264</v>
      </c>
      <c r="BE143" s="1268"/>
      <c r="BF143" s="1268"/>
      <c r="BG143" s="1268"/>
      <c r="BH143" s="12"/>
      <c r="BI143" s="440" t="s">
        <v>265</v>
      </c>
      <c r="BJ143" s="1269" t="s">
        <v>263</v>
      </c>
      <c r="BK143" s="1269"/>
      <c r="BL143" s="1269"/>
      <c r="BM143" s="12"/>
      <c r="BN143" s="12"/>
      <c r="BO143" s="143" t="s">
        <v>266</v>
      </c>
      <c r="BP143" s="12" t="s">
        <v>88</v>
      </c>
      <c r="BQ143" s="12"/>
      <c r="BR143" s="449"/>
      <c r="BS143" s="12"/>
      <c r="BT143" s="12"/>
      <c r="BU143" s="12"/>
      <c r="BV143" s="12"/>
      <c r="BW143" s="12"/>
      <c r="BX143" s="4"/>
      <c r="BY143" s="4"/>
      <c r="BZ143" s="4"/>
      <c r="CA143" s="4"/>
      <c r="CB143" s="4"/>
      <c r="CC143" s="4"/>
      <c r="CD143" s="4"/>
      <c r="CE143" s="4"/>
      <c r="CF143" s="4"/>
      <c r="CG143" s="4"/>
      <c r="CH143" s="4"/>
      <c r="CI143" s="13"/>
    </row>
    <row r="144" spans="1:87" ht="18" customHeight="1">
      <c r="A144" s="196" t="s">
        <v>55</v>
      </c>
      <c r="B144" s="1382">
        <f>B55</f>
        <v>0</v>
      </c>
      <c r="C144" s="1382"/>
      <c r="D144" s="1382"/>
      <c r="E144" s="198" t="s">
        <v>11</v>
      </c>
      <c r="F144" s="1412" t="s">
        <v>57</v>
      </c>
      <c r="G144" s="1412"/>
      <c r="H144" s="1469"/>
      <c r="I144" s="1449">
        <f>IF(I55=1,1,0)</f>
        <v>0</v>
      </c>
      <c r="J144" s="1450"/>
      <c r="K144" s="1373">
        <f>IF(H149=0,0,IF(K137=0, "加入月が未入力です!！",IF($L$176=$A$176,"限度超過額に達しているため計算不可能!!",IF(U146-U145=U147,"エラー名前を入力されているが加入月未入力!！",IF(H149&gt;K146,"加入月未入力エラー!！",0)))))</f>
        <v>0</v>
      </c>
      <c r="L144" s="1374"/>
      <c r="M144" s="1374"/>
      <c r="N144" s="1374"/>
      <c r="O144" s="1374"/>
      <c r="P144" s="1374"/>
      <c r="Q144" s="1374"/>
      <c r="R144" s="1374"/>
      <c r="S144" s="1375"/>
      <c r="T144" s="197" t="s">
        <v>47</v>
      </c>
      <c r="U144" s="1383">
        <f>IF(U149&gt;0,"支援分",0)</f>
        <v>0</v>
      </c>
      <c r="V144" s="1384"/>
      <c r="W144" s="1385" t="s">
        <v>46</v>
      </c>
      <c r="X144" s="1164"/>
      <c r="Y144" s="1164"/>
      <c r="Z144" s="1165"/>
      <c r="AA144" s="26"/>
      <c r="AB144" s="26"/>
      <c r="AC144" s="494"/>
      <c r="AD144" s="26"/>
      <c r="AE144" s="489"/>
      <c r="AF144" s="238" t="s">
        <v>117</v>
      </c>
      <c r="AG144" s="26"/>
      <c r="AH144" s="276">
        <f>IF(K146=0,0,IF(K146&lt;12,1,0))</f>
        <v>0</v>
      </c>
      <c r="AI144" s="173"/>
      <c r="AJ144" s="179"/>
      <c r="AK144" s="179"/>
      <c r="AL144" s="179"/>
      <c r="AM144" s="179"/>
      <c r="AN144" s="369" t="s">
        <v>148</v>
      </c>
      <c r="AO144" s="1205" t="s">
        <v>222</v>
      </c>
      <c r="AP144" s="1280"/>
      <c r="AQ144" s="1326">
        <f>IF(AR60=0,0,ROUNDDOWN(AR150/(AW61+AR150),8))</f>
        <v>0</v>
      </c>
      <c r="AR144" s="1327"/>
      <c r="AS144" s="373"/>
      <c r="AT144" s="1205" t="s">
        <v>215</v>
      </c>
      <c r="AU144" s="1280"/>
      <c r="AV144" s="1296">
        <f>IF($AG$2&gt;0,0,AR150-AR149)</f>
        <v>0</v>
      </c>
      <c r="AW144" s="1297"/>
      <c r="AX144" s="321"/>
      <c r="AY144" s="1279" t="s">
        <v>46</v>
      </c>
      <c r="AZ144" s="1280"/>
      <c r="BA144" s="1292">
        <f>IF(R146+R149=0,0,IF(K147&gt;K146,"期割がアンマッチ使用禁止↓",0))</f>
        <v>0</v>
      </c>
      <c r="BB144" s="1293"/>
      <c r="BC144" s="321"/>
      <c r="BD144" s="1272" t="s">
        <v>46</v>
      </c>
      <c r="BE144" s="1273"/>
      <c r="BF144" s="1304" t="s">
        <v>87</v>
      </c>
      <c r="BG144" s="1305"/>
      <c r="BH144" s="12"/>
      <c r="BI144" s="1139" t="s">
        <v>89</v>
      </c>
      <c r="BJ144" s="1273"/>
      <c r="BK144" s="441"/>
      <c r="BL144" s="442"/>
      <c r="BM144" s="12"/>
      <c r="BN144" s="1139" t="s">
        <v>46</v>
      </c>
      <c r="BO144" s="1273"/>
      <c r="BP144" s="1270"/>
      <c r="BQ144" s="1271"/>
      <c r="BR144" s="449"/>
      <c r="BS144" s="12"/>
      <c r="BT144" s="12"/>
      <c r="BU144" s="12"/>
      <c r="BV144" s="12"/>
      <c r="BW144" s="12"/>
      <c r="BX144" s="4"/>
      <c r="BY144" s="4"/>
      <c r="BZ144" s="4"/>
      <c r="CA144" s="4"/>
      <c r="CB144" s="4"/>
      <c r="CC144" s="4"/>
      <c r="CD144" s="4"/>
      <c r="CE144" s="4"/>
      <c r="CF144" s="4"/>
      <c r="CG144" s="4"/>
      <c r="CH144" s="4"/>
      <c r="CI144" s="13"/>
    </row>
    <row r="145" spans="1:87" ht="18" customHeight="1">
      <c r="A145" s="165"/>
      <c r="B145" s="12"/>
      <c r="C145" s="75" t="s">
        <v>33</v>
      </c>
      <c r="D145" s="12"/>
      <c r="E145" s="12"/>
      <c r="F145" s="12"/>
      <c r="G145" s="12"/>
      <c r="H145" s="50"/>
      <c r="I145" s="93"/>
      <c r="J145" s="12"/>
      <c r="K145" s="76" t="s">
        <v>9</v>
      </c>
      <c r="L145" s="12"/>
      <c r="M145" s="1414"/>
      <c r="N145" s="1414"/>
      <c r="O145" s="1414"/>
      <c r="P145" s="1414"/>
      <c r="Q145" s="1414"/>
      <c r="R145" s="1414"/>
      <c r="S145" s="1415"/>
      <c r="T145" s="72" t="s">
        <v>30</v>
      </c>
      <c r="U145" s="105">
        <f>R146+R149</f>
        <v>0</v>
      </c>
      <c r="V145" s="88" t="s">
        <v>6</v>
      </c>
      <c r="W145" s="80" t="s">
        <v>34</v>
      </c>
      <c r="X145" s="29">
        <f t="shared" ref="X145:X150" si="89">IF($AH$13&gt;0,0,AZ145)</f>
        <v>0</v>
      </c>
      <c r="Y145" s="80" t="s">
        <v>39</v>
      </c>
      <c r="Z145" s="31">
        <f>IF($AH$13&gt;0,0,BB145)</f>
        <v>0</v>
      </c>
      <c r="AA145" s="26"/>
      <c r="AB145" s="26"/>
      <c r="AC145" s="494"/>
      <c r="AD145" s="26"/>
      <c r="AE145" s="489"/>
      <c r="AF145" s="219">
        <f>AF146+AF149+AF152</f>
        <v>0</v>
      </c>
      <c r="AG145" s="26"/>
      <c r="AH145" s="26"/>
      <c r="AI145" s="173"/>
      <c r="AJ145" s="173"/>
      <c r="AK145" s="173"/>
      <c r="AL145" s="173"/>
      <c r="AM145" s="173"/>
      <c r="AN145" s="174"/>
      <c r="AO145" s="126" t="s">
        <v>34</v>
      </c>
      <c r="AP145" s="347">
        <f>ROUND((AP56-AP234)*AQ144,0)</f>
        <v>0</v>
      </c>
      <c r="AQ145" s="354" t="s">
        <v>39</v>
      </c>
      <c r="AR145" s="348">
        <f>ROUND((AR56-AR234)*AQ144,0)</f>
        <v>0</v>
      </c>
      <c r="AS145" s="374"/>
      <c r="AT145" s="126" t="s">
        <v>34</v>
      </c>
      <c r="AU145" s="347">
        <f>IF(AV144=0,0,IF(AV144&gt;=10,1,IF(AV144&lt;=-10,-1,0)))</f>
        <v>0</v>
      </c>
      <c r="AV145" s="354" t="s">
        <v>39</v>
      </c>
      <c r="AW145" s="348">
        <f>IF(AV144=0,0,IF(AV144&gt;=4,1,IF(AV144&lt;=-4,-1,0)))</f>
        <v>0</v>
      </c>
      <c r="AX145" s="321"/>
      <c r="AY145" s="260" t="s">
        <v>34</v>
      </c>
      <c r="AZ145" s="375">
        <f t="shared" ref="AZ145:AZ150" si="90">IF($AG$2&gt;0,"限度超過",IF($A$176=$L$176,"限度超過",AP145+AU145))</f>
        <v>0</v>
      </c>
      <c r="BA145" s="322" t="s">
        <v>39</v>
      </c>
      <c r="BB145" s="127">
        <f>IF($AG$2&gt;0,"限度超過",IF($A$176=$L$176,"限度超過",AR145+AW145))</f>
        <v>0</v>
      </c>
      <c r="BC145" s="321"/>
      <c r="BD145" s="451" t="s">
        <v>34</v>
      </c>
      <c r="BE145" s="81">
        <f t="shared" ref="BE145:BE150" si="91">BE135</f>
        <v>0</v>
      </c>
      <c r="BF145" s="82" t="s">
        <v>39</v>
      </c>
      <c r="BG145" s="29">
        <f>BG135</f>
        <v>0</v>
      </c>
      <c r="BH145" s="12"/>
      <c r="BI145" s="80" t="s">
        <v>34</v>
      </c>
      <c r="BJ145" s="29">
        <f t="shared" ref="BJ145:BJ150" si="92">IF($A$176=$L$176,"限度超過",IF(BE145=0,0,BE145/$S$94))</f>
        <v>0</v>
      </c>
      <c r="BK145" s="80" t="s">
        <v>39</v>
      </c>
      <c r="BL145" s="29">
        <f>IF($A$176=$L$176,"限度超過",IF(BG145=0,0,BG145/$S$94))</f>
        <v>0</v>
      </c>
      <c r="BM145" s="12"/>
      <c r="BN145" s="30" t="s">
        <v>34</v>
      </c>
      <c r="BO145" s="29">
        <f t="shared" ref="BO145:BO150" si="93">IF($A$176=$L$176,"限度超過",IF($S$94&lt;=4,0,BJ145))</f>
        <v>0</v>
      </c>
      <c r="BP145" s="80" t="s">
        <v>39</v>
      </c>
      <c r="BQ145" s="29">
        <f>IF($A$176=$L$176,"限度超過",IF($S$94&lt;=4,0,BL145))</f>
        <v>0</v>
      </c>
      <c r="BR145" s="449"/>
      <c r="BS145" s="12"/>
      <c r="BT145" s="12"/>
      <c r="BU145" s="12"/>
      <c r="BV145" s="12"/>
      <c r="BW145" s="12"/>
      <c r="BX145" s="32"/>
      <c r="BY145" s="33" t="str">
        <f>BY135</f>
        <v>料率</v>
      </c>
      <c r="BZ145" s="33">
        <f>BZ135</f>
        <v>7</v>
      </c>
      <c r="CA145" s="33">
        <f>CA135</f>
        <v>5</v>
      </c>
      <c r="CB145" s="33">
        <f>CB135</f>
        <v>2</v>
      </c>
      <c r="CC145" s="713" t="s">
        <v>467</v>
      </c>
      <c r="CD145" s="4"/>
      <c r="CE145" s="4"/>
      <c r="CF145" s="4"/>
      <c r="CG145" s="4"/>
      <c r="CH145" s="4"/>
      <c r="CI145" s="13"/>
    </row>
    <row r="146" spans="1:87" ht="18" customHeight="1">
      <c r="A146" s="1421" t="s">
        <v>0</v>
      </c>
      <c r="B146" s="1448" t="s">
        <v>129</v>
      </c>
      <c r="C146" s="1376">
        <f>C57</f>
        <v>0</v>
      </c>
      <c r="D146" s="855" t="s">
        <v>58</v>
      </c>
      <c r="E146" s="1416">
        <f>IF(H149&gt;0,$CE$100, 0)</f>
        <v>0</v>
      </c>
      <c r="F146" s="1380" t="s">
        <v>22</v>
      </c>
      <c r="G146" s="855" t="s">
        <v>59</v>
      </c>
      <c r="H146" s="85">
        <f>IF(H149&gt;0,$CE$96,0)</f>
        <v>0</v>
      </c>
      <c r="I146" s="1277" t="s">
        <v>22</v>
      </c>
      <c r="J146" s="855" t="s">
        <v>59</v>
      </c>
      <c r="K146" s="51">
        <f>K57</f>
        <v>0</v>
      </c>
      <c r="L146" s="52" t="s">
        <v>5</v>
      </c>
      <c r="M146" s="1380"/>
      <c r="N146" s="1407"/>
      <c r="O146" s="86"/>
      <c r="P146" s="1377" t="s">
        <v>130</v>
      </c>
      <c r="Q146" s="1377"/>
      <c r="R146" s="1403">
        <f>ROUNDDOWN(IF(((C146-E146)*H146/H147)*K146/K147&lt;0,0,((C146-E146)*H146/H147)*K146/K147),0)</f>
        <v>0</v>
      </c>
      <c r="S146" s="1381" t="s">
        <v>6</v>
      </c>
      <c r="T146" s="72" t="s">
        <v>1</v>
      </c>
      <c r="U146" s="105">
        <f>IF(H149=0,0,K152)</f>
        <v>0</v>
      </c>
      <c r="V146" s="88" t="s">
        <v>6</v>
      </c>
      <c r="W146" s="30" t="s">
        <v>35</v>
      </c>
      <c r="X146" s="29">
        <f t="shared" si="89"/>
        <v>0</v>
      </c>
      <c r="Y146" s="30" t="s">
        <v>40</v>
      </c>
      <c r="Z146" s="31">
        <f>IF($AH$13&gt;0,0,BB146)</f>
        <v>0</v>
      </c>
      <c r="AA146" s="26"/>
      <c r="AB146" s="26"/>
      <c r="AC146" s="494"/>
      <c r="AD146" s="26"/>
      <c r="AE146" s="489"/>
      <c r="AF146" s="1386">
        <f>ROUNDDOWN(IF(((C146-E146)*H146/H147)&lt;0,0,((C146-E146)*H146/H147)),0)</f>
        <v>0</v>
      </c>
      <c r="AG146" s="26"/>
      <c r="AH146" s="26"/>
      <c r="AI146" s="173"/>
      <c r="AJ146" s="173"/>
      <c r="AK146" s="173"/>
      <c r="AL146" s="173"/>
      <c r="AM146" s="173"/>
      <c r="AN146" s="174"/>
      <c r="AO146" s="126" t="s">
        <v>35</v>
      </c>
      <c r="AP146" s="347">
        <f>ROUND((AP57-AP235)*AQ144,0)</f>
        <v>0</v>
      </c>
      <c r="AQ146" s="354" t="s">
        <v>40</v>
      </c>
      <c r="AR146" s="348">
        <f>ROUND((AR57-AR235)*AQ144,0)</f>
        <v>0</v>
      </c>
      <c r="AS146" s="374"/>
      <c r="AT146" s="126" t="s">
        <v>35</v>
      </c>
      <c r="AU146" s="347">
        <f>IF(AV144=0,0,IF(AV144&gt;=9,1,IF(AV144&lt;=-9,-1,0)))</f>
        <v>0</v>
      </c>
      <c r="AV146" s="354" t="s">
        <v>40</v>
      </c>
      <c r="AW146" s="348">
        <f>IF(AV144=0,0,IF(AV144&gt;=3,1,IF(AV144&lt;=-3,-1,0)))</f>
        <v>0</v>
      </c>
      <c r="AX146" s="321"/>
      <c r="AY146" s="264" t="s">
        <v>35</v>
      </c>
      <c r="AZ146" s="375">
        <f t="shared" si="90"/>
        <v>0</v>
      </c>
      <c r="BA146" s="322" t="s">
        <v>40</v>
      </c>
      <c r="BB146" s="127">
        <f>IF($AG$2&gt;0,"限度超過",IF($A$176=$L$176,"限度超過",AR146+AW146))</f>
        <v>0</v>
      </c>
      <c r="BC146" s="321"/>
      <c r="BD146" s="451" t="s">
        <v>35</v>
      </c>
      <c r="BE146" s="81">
        <f t="shared" si="91"/>
        <v>0</v>
      </c>
      <c r="BF146" s="82" t="s">
        <v>40</v>
      </c>
      <c r="BG146" s="29">
        <f>BG136</f>
        <v>0</v>
      </c>
      <c r="BH146" s="12"/>
      <c r="BI146" s="30" t="s">
        <v>35</v>
      </c>
      <c r="BJ146" s="29">
        <f t="shared" si="92"/>
        <v>0</v>
      </c>
      <c r="BK146" s="30" t="s">
        <v>40</v>
      </c>
      <c r="BL146" s="29">
        <f>IF($A$176=$L$176,"限度超過",IF(BG146=0,0,BG146/$S$94))</f>
        <v>0</v>
      </c>
      <c r="BM146" s="12"/>
      <c r="BN146" s="30" t="s">
        <v>35</v>
      </c>
      <c r="BO146" s="29">
        <f t="shared" si="93"/>
        <v>0</v>
      </c>
      <c r="BP146" s="30" t="s">
        <v>40</v>
      </c>
      <c r="BQ146" s="29">
        <f>IF($A$176=$L$176,"限度超過",IF($S$94&lt;=4,0,BL146))</f>
        <v>0</v>
      </c>
      <c r="BR146" s="449"/>
      <c r="BS146" s="12"/>
      <c r="BT146" s="12"/>
      <c r="BU146" s="12"/>
      <c r="BV146" s="12"/>
      <c r="BW146" s="12"/>
      <c r="BX146" s="32" t="s">
        <v>17</v>
      </c>
      <c r="BY146" s="44">
        <v>0</v>
      </c>
      <c r="BZ146" s="45">
        <f>$CF$97</f>
        <v>6420</v>
      </c>
      <c r="CA146" s="45">
        <f>$CG$97</f>
        <v>4590</v>
      </c>
      <c r="CB146" s="45">
        <f>$CH$97</f>
        <v>1840</v>
      </c>
      <c r="CC146" s="713"/>
      <c r="CD146" s="4"/>
      <c r="CE146" s="4"/>
      <c r="CF146" s="4"/>
      <c r="CG146" s="4"/>
      <c r="CH146" s="4"/>
      <c r="CI146" s="13"/>
    </row>
    <row r="147" spans="1:87" ht="18" customHeight="1">
      <c r="A147" s="1421"/>
      <c r="B147" s="1448"/>
      <c r="C147" s="1376"/>
      <c r="D147" s="855"/>
      <c r="E147" s="1416"/>
      <c r="F147" s="1380"/>
      <c r="G147" s="855"/>
      <c r="H147" s="39">
        <v>100</v>
      </c>
      <c r="I147" s="1277"/>
      <c r="J147" s="855"/>
      <c r="K147" s="55">
        <v>12</v>
      </c>
      <c r="L147" s="12" t="s">
        <v>5</v>
      </c>
      <c r="M147" s="1380"/>
      <c r="N147" s="1407"/>
      <c r="O147" s="86"/>
      <c r="P147" s="1377"/>
      <c r="Q147" s="1377"/>
      <c r="R147" s="1403"/>
      <c r="S147" s="1381"/>
      <c r="T147" s="72" t="s">
        <v>29</v>
      </c>
      <c r="U147" s="105">
        <f>U145+U146</f>
        <v>0</v>
      </c>
      <c r="V147" s="88" t="s">
        <v>6</v>
      </c>
      <c r="W147" s="30" t="s">
        <v>36</v>
      </c>
      <c r="X147" s="29">
        <f t="shared" si="89"/>
        <v>0</v>
      </c>
      <c r="Y147" s="30" t="s">
        <v>41</v>
      </c>
      <c r="Z147" s="31">
        <f>IF($AH$13&gt;0,0,BB147)</f>
        <v>0</v>
      </c>
      <c r="AA147" s="26"/>
      <c r="AB147" s="26"/>
      <c r="AC147" s="494"/>
      <c r="AD147" s="26"/>
      <c r="AE147" s="489"/>
      <c r="AF147" s="1363"/>
      <c r="AG147" s="26"/>
      <c r="AH147" s="26"/>
      <c r="AI147" s="173"/>
      <c r="AJ147" s="173"/>
      <c r="AK147" s="173"/>
      <c r="AL147" s="173"/>
      <c r="AM147" s="173"/>
      <c r="AN147" s="174"/>
      <c r="AO147" s="126" t="s">
        <v>36</v>
      </c>
      <c r="AP147" s="347">
        <f>ROUND((AP58-AP236)*AQ144,0)</f>
        <v>0</v>
      </c>
      <c r="AQ147" s="354" t="s">
        <v>41</v>
      </c>
      <c r="AR147" s="348">
        <f>ROUND((AR58-AR236)*AQ144,0)</f>
        <v>0</v>
      </c>
      <c r="AS147" s="353"/>
      <c r="AT147" s="126" t="s">
        <v>36</v>
      </c>
      <c r="AU147" s="347">
        <f>IF(AV144=0,0,IF(AV144&gt;=8,1,IF(AV144&lt;=-8,-1,0)))</f>
        <v>0</v>
      </c>
      <c r="AV147" s="354" t="s">
        <v>41</v>
      </c>
      <c r="AW147" s="348">
        <f>IF(AV144=0,0,IF(AV144&gt;=2,1,IF(AV144&lt;=-2,-1,0)))</f>
        <v>0</v>
      </c>
      <c r="AX147" s="321"/>
      <c r="AY147" s="264" t="s">
        <v>36</v>
      </c>
      <c r="AZ147" s="375">
        <f t="shared" si="90"/>
        <v>0</v>
      </c>
      <c r="BA147" s="322" t="s">
        <v>41</v>
      </c>
      <c r="BB147" s="127">
        <f>IF($AG$2&gt;0,"限度超過",IF($A$176=$L$176,"限度超過",AR147+AW147))</f>
        <v>0</v>
      </c>
      <c r="BC147" s="321"/>
      <c r="BD147" s="451" t="s">
        <v>36</v>
      </c>
      <c r="BE147" s="81">
        <f t="shared" si="91"/>
        <v>0</v>
      </c>
      <c r="BF147" s="82" t="s">
        <v>41</v>
      </c>
      <c r="BG147" s="29">
        <f>BG137</f>
        <v>0</v>
      </c>
      <c r="BH147" s="12"/>
      <c r="BI147" s="30" t="s">
        <v>36</v>
      </c>
      <c r="BJ147" s="29">
        <f t="shared" si="92"/>
        <v>0</v>
      </c>
      <c r="BK147" s="30" t="s">
        <v>41</v>
      </c>
      <c r="BL147" s="29">
        <f>IF($A$176=$L$176,"限度超過",IF(BG147=0,0,BG147/$S$94))</f>
        <v>0</v>
      </c>
      <c r="BM147" s="12"/>
      <c r="BN147" s="30" t="s">
        <v>36</v>
      </c>
      <c r="BO147" s="29">
        <f t="shared" si="93"/>
        <v>0</v>
      </c>
      <c r="BP147" s="30" t="s">
        <v>41</v>
      </c>
      <c r="BQ147" s="29">
        <f>IF($A$176=$L$176,"限度超過",IF($S$94&lt;=4,0,BL147))</f>
        <v>0</v>
      </c>
      <c r="BR147" s="449"/>
      <c r="BS147" s="12"/>
      <c r="BT147" s="12"/>
      <c r="BU147" s="12"/>
      <c r="BV147" s="12"/>
      <c r="BW147" s="12"/>
      <c r="BX147" s="32" t="s">
        <v>8</v>
      </c>
      <c r="BY147" s="45">
        <f>K149</f>
        <v>0</v>
      </c>
      <c r="BZ147" s="45">
        <f t="shared" ref="BZ147:CB149" si="94">BY147</f>
        <v>0</v>
      </c>
      <c r="CA147" s="45">
        <f t="shared" si="94"/>
        <v>0</v>
      </c>
      <c r="CB147" s="45">
        <f t="shared" si="94"/>
        <v>0</v>
      </c>
      <c r="CC147" s="713">
        <f>CB147</f>
        <v>0</v>
      </c>
      <c r="CD147" s="4"/>
      <c r="CE147" s="4"/>
      <c r="CF147" s="4"/>
      <c r="CG147" s="4"/>
      <c r="CH147" s="4"/>
      <c r="CI147" s="13"/>
    </row>
    <row r="148" spans="1:87" ht="18" customHeight="1">
      <c r="A148" s="165"/>
      <c r="B148" s="12"/>
      <c r="C148" s="50"/>
      <c r="D148" s="12"/>
      <c r="E148" s="12"/>
      <c r="F148" s="12"/>
      <c r="G148" s="12"/>
      <c r="H148" s="91"/>
      <c r="I148" s="75"/>
      <c r="J148" s="75"/>
      <c r="K148" s="92"/>
      <c r="L148" s="75"/>
      <c r="M148" s="93"/>
      <c r="N148" s="714" t="str">
        <f>IF(入力画面!E32=1,"未就学児",0)</f>
        <v>未就学児</v>
      </c>
      <c r="O148" s="42">
        <f>IF(H149=0,0,$D$94)</f>
        <v>0</v>
      </c>
      <c r="P148" s="466">
        <f>IF(O149=0,0,"軽減額")</f>
        <v>0</v>
      </c>
      <c r="Q148" s="12"/>
      <c r="R148" s="95"/>
      <c r="S148" s="49"/>
      <c r="T148" s="96" t="s">
        <v>31</v>
      </c>
      <c r="U148" s="105">
        <f>ROUNDDOWN(U147,-2)</f>
        <v>0</v>
      </c>
      <c r="V148" s="88" t="s">
        <v>6</v>
      </c>
      <c r="W148" s="30" t="s">
        <v>43</v>
      </c>
      <c r="X148" s="29">
        <f t="shared" si="89"/>
        <v>0</v>
      </c>
      <c r="Y148" s="30" t="s">
        <v>42</v>
      </c>
      <c r="Z148" s="31">
        <f>IF($AH$13&gt;0,0,BB148)</f>
        <v>0</v>
      </c>
      <c r="AA148" s="4"/>
      <c r="AB148" s="4"/>
      <c r="AC148" s="492"/>
      <c r="AD148" s="4"/>
      <c r="AE148" s="500" t="str">
        <f>IF($AH$13&gt;0,"－",IF($AG$2&gt;0,"限度超過",IF(U149=Z149,"OK","ｱﾝﾏｯﾁ")))</f>
        <v>OK</v>
      </c>
      <c r="AF148" s="499"/>
      <c r="AG148" s="4"/>
      <c r="AI148" s="174"/>
      <c r="AJ148" s="174"/>
      <c r="AK148" s="174"/>
      <c r="AL148" s="174"/>
      <c r="AM148" s="174"/>
      <c r="AN148" s="174"/>
      <c r="AO148" s="126" t="s">
        <v>43</v>
      </c>
      <c r="AP148" s="347">
        <f>ROUND((AP59-AP237)*AQ144,0)</f>
        <v>0</v>
      </c>
      <c r="AQ148" s="354" t="s">
        <v>42</v>
      </c>
      <c r="AR148" s="348">
        <f>ROUND((AR59-AR237)*AQ144,0)</f>
        <v>0</v>
      </c>
      <c r="AS148" s="353"/>
      <c r="AT148" s="126" t="s">
        <v>43</v>
      </c>
      <c r="AU148" s="347">
        <f>IF(AV144=0,0,IF(AV144&gt;=7,1,IF(AV144&lt;=-7,-1,0)))</f>
        <v>0</v>
      </c>
      <c r="AV148" s="354" t="s">
        <v>42</v>
      </c>
      <c r="AW148" s="348">
        <f>IF(AV144=0,0,IF(AV144&gt;=1,1,IF(AV144&lt;=-1,-1,0)))</f>
        <v>0</v>
      </c>
      <c r="AX148" s="321"/>
      <c r="AY148" s="264" t="s">
        <v>43</v>
      </c>
      <c r="AZ148" s="375">
        <f t="shared" si="90"/>
        <v>0</v>
      </c>
      <c r="BA148" s="322" t="s">
        <v>42</v>
      </c>
      <c r="BB148" s="127">
        <f>IF($AG$2&gt;0,"限度超過",IF($A$176=$L$176,"限度超過",AR148+AW148))</f>
        <v>0</v>
      </c>
      <c r="BC148" s="321"/>
      <c r="BD148" s="451" t="s">
        <v>43</v>
      </c>
      <c r="BE148" s="81">
        <f t="shared" si="91"/>
        <v>0</v>
      </c>
      <c r="BF148" s="82" t="s">
        <v>42</v>
      </c>
      <c r="BG148" s="29">
        <f>BG138</f>
        <v>0</v>
      </c>
      <c r="BH148" s="12"/>
      <c r="BI148" s="30" t="s">
        <v>43</v>
      </c>
      <c r="BJ148" s="29">
        <f t="shared" si="92"/>
        <v>0</v>
      </c>
      <c r="BK148" s="30" t="s">
        <v>42</v>
      </c>
      <c r="BL148" s="29">
        <f>IF($A$176=$L$176,"限度超過",IF(BG148=0,0,BG148/$S$94))</f>
        <v>0</v>
      </c>
      <c r="BM148" s="12"/>
      <c r="BN148" s="30" t="s">
        <v>43</v>
      </c>
      <c r="BO148" s="29">
        <f t="shared" si="93"/>
        <v>0</v>
      </c>
      <c r="BP148" s="30" t="s">
        <v>42</v>
      </c>
      <c r="BQ148" s="29">
        <f>IF($A$176=$L$176,"限度超過",IF($S$94&lt;=4,0,BL148))</f>
        <v>0</v>
      </c>
      <c r="BR148" s="449"/>
      <c r="BS148" s="12"/>
      <c r="BT148" s="12"/>
      <c r="BU148" s="12"/>
      <c r="BV148" s="12"/>
      <c r="BW148" s="12"/>
      <c r="BX148" s="32" t="s">
        <v>25</v>
      </c>
      <c r="BY148" s="45">
        <f>K150</f>
        <v>0</v>
      </c>
      <c r="BZ148" s="45">
        <f t="shared" si="94"/>
        <v>0</v>
      </c>
      <c r="CA148" s="45">
        <f t="shared" si="94"/>
        <v>0</v>
      </c>
      <c r="CB148" s="45">
        <f t="shared" si="94"/>
        <v>0</v>
      </c>
      <c r="CC148" s="713">
        <f>CB148</f>
        <v>0</v>
      </c>
      <c r="CD148" s="4"/>
      <c r="CE148" s="4"/>
      <c r="CF148" s="4"/>
      <c r="CG148" s="4"/>
      <c r="CH148" s="4"/>
      <c r="CI148" s="13"/>
    </row>
    <row r="149" spans="1:87" ht="18" customHeight="1">
      <c r="A149" s="1421" t="s">
        <v>10</v>
      </c>
      <c r="B149" s="12"/>
      <c r="C149" s="12"/>
      <c r="D149" s="1419" t="s">
        <v>7</v>
      </c>
      <c r="E149" s="1416">
        <f>IF(H149&gt;0,$CE$97,0)</f>
        <v>0</v>
      </c>
      <c r="F149" s="97"/>
      <c r="G149" s="855" t="s">
        <v>59</v>
      </c>
      <c r="H149" s="1413">
        <f>IF(B144=0,0,SUBTOTAL(3,B144))</f>
        <v>0</v>
      </c>
      <c r="I149" s="1277" t="s">
        <v>22</v>
      </c>
      <c r="J149" s="855" t="s">
        <v>59</v>
      </c>
      <c r="K149" s="51">
        <f>IF(H149&gt;0,K146,0)</f>
        <v>0</v>
      </c>
      <c r="L149" s="52" t="s">
        <v>5</v>
      </c>
      <c r="M149" s="1407" t="s">
        <v>122</v>
      </c>
      <c r="N149" s="1402">
        <f>IF(O149=0,0,"―")</f>
        <v>0</v>
      </c>
      <c r="O149" s="1404">
        <f>IF(H149=0,0,IF(BY151=0,IF($D$94=7,BZ150,IF($D$94=5,CA150,IF($D$94=2,CB150,CC150))),IF($D$94=7,BZ150+BZ151,IF($D$94=5,CA150+CA151,IF($D$94=2,CB150+CB151,CC150+CC151)))))</f>
        <v>0</v>
      </c>
      <c r="P149" s="1405"/>
      <c r="Q149" s="1377" t="s">
        <v>130</v>
      </c>
      <c r="R149" s="1403">
        <f>IF(H149&gt;0,IF(K146=0,0,ROUNDDOWN(((E149*H149)*K149/K150)-O149,0)),0)</f>
        <v>0</v>
      </c>
      <c r="S149" s="1381" t="s">
        <v>6</v>
      </c>
      <c r="T149" s="1207" t="s">
        <v>32</v>
      </c>
      <c r="U149" s="1458">
        <f>IF($L$176=$A$176,"限度超過!",U147)</f>
        <v>0</v>
      </c>
      <c r="V149" s="1470" t="s">
        <v>6</v>
      </c>
      <c r="W149" s="30" t="s">
        <v>37</v>
      </c>
      <c r="X149" s="29">
        <f t="shared" si="89"/>
        <v>0</v>
      </c>
      <c r="Y149" s="1199" t="s">
        <v>44</v>
      </c>
      <c r="Z149" s="1394">
        <f>IF($AH$13&gt;0,0,BB149)</f>
        <v>0</v>
      </c>
      <c r="AB149" s="4"/>
      <c r="AC149" s="492"/>
      <c r="AD149" s="4"/>
      <c r="AE149" s="500" t="str">
        <f>IF($AG$2&gt;0,"限度超過",IF(X145+X146+X147+X148+X149+X150+Z145+Z146+Z147+Z148=Z149,"OK","エラー"))</f>
        <v>OK</v>
      </c>
      <c r="AF149" s="1362">
        <f>IF(H149&gt;0,IF(K146=0,0,ROUNDDOWN((E149*H149)-O149,0)),0)</f>
        <v>0</v>
      </c>
      <c r="AG149" s="4"/>
      <c r="AI149" s="174"/>
      <c r="AJ149" s="174"/>
      <c r="AK149" s="174"/>
      <c r="AL149" s="174"/>
      <c r="AM149" s="174"/>
      <c r="AN149" s="174"/>
      <c r="AO149" s="126" t="s">
        <v>37</v>
      </c>
      <c r="AP149" s="347">
        <f>ROUND((AP60-AP238)*AQ144,0)</f>
        <v>0</v>
      </c>
      <c r="AQ149" s="355" t="s">
        <v>44</v>
      </c>
      <c r="AR149" s="349">
        <f>AP145+AP146+AP147+AP148+AP149+AP150+AR145+AR146+AR147+AR148</f>
        <v>0</v>
      </c>
      <c r="AS149" s="353"/>
      <c r="AT149" s="126" t="s">
        <v>37</v>
      </c>
      <c r="AU149" s="347">
        <f>IF(AV144=0,0,IF(AV144&gt;=6,1,IF(AV144&lt;=-6,-1,0)))</f>
        <v>0</v>
      </c>
      <c r="AV149" s="355" t="s">
        <v>44</v>
      </c>
      <c r="AW149" s="356">
        <f>AU145+AU146+AU147+AU148+AU149+AU150+AW145+AW146+AW147+AW148</f>
        <v>0</v>
      </c>
      <c r="AX149" s="321"/>
      <c r="AY149" s="264" t="s">
        <v>37</v>
      </c>
      <c r="AZ149" s="375">
        <f t="shared" si="90"/>
        <v>0</v>
      </c>
      <c r="BA149" s="323" t="s">
        <v>44</v>
      </c>
      <c r="BB149" s="420">
        <f>IF($AG$2&gt;0,"限度超過",AZ145+AZ146+AZ147+AZ148+AZ149+AZ150+BB145+BB146+BB147+BB148)</f>
        <v>0</v>
      </c>
      <c r="BC149" s="321"/>
      <c r="BD149" s="451" t="s">
        <v>37</v>
      </c>
      <c r="BE149" s="81">
        <f t="shared" si="91"/>
        <v>0</v>
      </c>
      <c r="BF149" s="443" t="s">
        <v>44</v>
      </c>
      <c r="BG149" s="29">
        <f>IF($A$176=$L$176,"限度超過",BE145+BE146+BE147+BE148+BE149+BE150+BG145+BG146+BG147+BG148)</f>
        <v>0</v>
      </c>
      <c r="BH149" s="12"/>
      <c r="BI149" s="30" t="s">
        <v>37</v>
      </c>
      <c r="BJ149" s="29">
        <f t="shared" si="92"/>
        <v>0</v>
      </c>
      <c r="BK149" s="98" t="s">
        <v>44</v>
      </c>
      <c r="BL149" s="29">
        <f>IF($A$176=$L$176,"限度超過",BJ145+BJ146+BJ147+BJ148+BJ149+BJ150+BL145+BL146+BL147+BL148)</f>
        <v>0</v>
      </c>
      <c r="BM149" s="12"/>
      <c r="BN149" s="30" t="s">
        <v>37</v>
      </c>
      <c r="BO149" s="29">
        <f t="shared" si="93"/>
        <v>0</v>
      </c>
      <c r="BP149" s="98" t="s">
        <v>44</v>
      </c>
      <c r="BQ149" s="29">
        <f>IF($A$176=$L$176,"限度超過",BO145+BO146+BO147+BO148+BO149+BO150+BQ145+BQ146+BQ147+BQ148)</f>
        <v>0</v>
      </c>
      <c r="BR149" s="449"/>
      <c r="BS149" s="12"/>
      <c r="BT149" s="12"/>
      <c r="BU149" s="12"/>
      <c r="BV149" s="12"/>
      <c r="BW149" s="12"/>
      <c r="BX149" s="32" t="s">
        <v>26</v>
      </c>
      <c r="BY149" s="26">
        <f>H149</f>
        <v>0</v>
      </c>
      <c r="BZ149" s="99">
        <f t="shared" si="94"/>
        <v>0</v>
      </c>
      <c r="CA149" s="99">
        <f t="shared" si="94"/>
        <v>0</v>
      </c>
      <c r="CB149" s="99">
        <f t="shared" si="94"/>
        <v>0</v>
      </c>
      <c r="CC149" s="713">
        <f>CB149</f>
        <v>0</v>
      </c>
      <c r="CD149" s="4"/>
      <c r="CE149" s="4"/>
      <c r="CF149" s="4"/>
      <c r="CG149" s="4"/>
      <c r="CH149" s="4"/>
      <c r="CI149" s="13"/>
    </row>
    <row r="150" spans="1:87" ht="18" customHeight="1">
      <c r="A150" s="1421"/>
      <c r="B150" s="12"/>
      <c r="C150" s="12"/>
      <c r="D150" s="1419"/>
      <c r="E150" s="1416"/>
      <c r="F150" s="12"/>
      <c r="G150" s="855"/>
      <c r="H150" s="1413"/>
      <c r="I150" s="1277"/>
      <c r="J150" s="855"/>
      <c r="K150" s="180">
        <f>IF(H149&gt;0,K147,0)</f>
        <v>0</v>
      </c>
      <c r="L150" s="12" t="s">
        <v>5</v>
      </c>
      <c r="M150" s="1407"/>
      <c r="N150" s="1402"/>
      <c r="O150" s="1405"/>
      <c r="P150" s="1405"/>
      <c r="Q150" s="1377"/>
      <c r="R150" s="1403"/>
      <c r="S150" s="1381"/>
      <c r="T150" s="1411"/>
      <c r="U150" s="1459"/>
      <c r="V150" s="1471"/>
      <c r="W150" s="30" t="s">
        <v>38</v>
      </c>
      <c r="X150" s="29">
        <f t="shared" si="89"/>
        <v>0</v>
      </c>
      <c r="Y150" s="1368"/>
      <c r="Z150" s="1395"/>
      <c r="AA150" s="73"/>
      <c r="AB150" s="73"/>
      <c r="AC150" s="225"/>
      <c r="AD150" s="73"/>
      <c r="AE150" s="73"/>
      <c r="AF150" s="1363"/>
      <c r="AG150" s="73"/>
      <c r="AH150" s="191"/>
      <c r="AI150" s="175"/>
      <c r="AJ150" s="175"/>
      <c r="AK150" s="175"/>
      <c r="AL150" s="175"/>
      <c r="AM150" s="175"/>
      <c r="AN150" s="174"/>
      <c r="AO150" s="126" t="s">
        <v>38</v>
      </c>
      <c r="AP150" s="347">
        <f>ROUND((AP61-AP239)*AQ144,0)</f>
        <v>0</v>
      </c>
      <c r="AQ150" s="354" t="s">
        <v>75</v>
      </c>
      <c r="AR150" s="333">
        <f>IF($AG$2&gt;0,"限度超過",U149)</f>
        <v>0</v>
      </c>
      <c r="AS150" s="350"/>
      <c r="AT150" s="126" t="s">
        <v>38</v>
      </c>
      <c r="AU150" s="347">
        <f>IF(AV144=0,0,IF(AV144&gt;=5,1,IF(AV144&lt;=-5,-1,0)))</f>
        <v>0</v>
      </c>
      <c r="AV150" s="354"/>
      <c r="AW150" s="357" t="str">
        <f>IF(AU145+AU146+AU147+AU148+AU149+AU150+AW145+AW146+AW147+AW148=AV144,"計算ＯＫ","エラー発生")</f>
        <v>計算ＯＫ</v>
      </c>
      <c r="AX150" s="321"/>
      <c r="AY150" s="264" t="s">
        <v>38</v>
      </c>
      <c r="AZ150" s="375">
        <f t="shared" si="90"/>
        <v>0</v>
      </c>
      <c r="BA150" s="322"/>
      <c r="BB150" s="421">
        <f>IF($AG$2&gt;0,"限度超過",IF($A$176=$L$176,"限度超過",$U$109))</f>
        <v>4100</v>
      </c>
      <c r="BC150" s="321"/>
      <c r="BD150" s="451" t="s">
        <v>38</v>
      </c>
      <c r="BE150" s="81">
        <f t="shared" si="91"/>
        <v>0</v>
      </c>
      <c r="BF150" s="82"/>
      <c r="BG150" s="100"/>
      <c r="BH150" s="12"/>
      <c r="BI150" s="30" t="s">
        <v>38</v>
      </c>
      <c r="BJ150" s="29">
        <f t="shared" si="92"/>
        <v>0</v>
      </c>
      <c r="BK150" s="30"/>
      <c r="BL150" s="100"/>
      <c r="BM150" s="12"/>
      <c r="BN150" s="30" t="s">
        <v>38</v>
      </c>
      <c r="BO150" s="29">
        <f t="shared" si="93"/>
        <v>0</v>
      </c>
      <c r="BP150" s="30"/>
      <c r="BQ150" s="100"/>
      <c r="BR150" s="449"/>
      <c r="BS150" s="12"/>
      <c r="BT150" s="12"/>
      <c r="BU150" s="12"/>
      <c r="BV150" s="12"/>
      <c r="BW150" s="12"/>
      <c r="BX150" s="67" t="s">
        <v>27</v>
      </c>
      <c r="BY150" s="45">
        <f>IF(BY149&gt;0,ROUNDDOWN(BY146*BY149*BY147/BY148,0),0)</f>
        <v>0</v>
      </c>
      <c r="BZ150" s="45">
        <f>IF(BZ149&gt;0,ROUNDDOWN(BZ146*BZ149*BZ147/BZ148,0),0)</f>
        <v>0</v>
      </c>
      <c r="CA150" s="45">
        <f>IF(CA149&gt;0,ROUNDDOWN(CA146*CA149*CA147/CA148,0),0)</f>
        <v>0</v>
      </c>
      <c r="CB150" s="45">
        <f>IF(CB149&gt;0,ROUNDDOWN(CB146*CB149*CB147/CB148,0),0)</f>
        <v>0</v>
      </c>
      <c r="CC150" s="713">
        <v>0</v>
      </c>
      <c r="CD150" s="4"/>
      <c r="CE150" s="4"/>
      <c r="CF150" s="4"/>
      <c r="CG150" s="4"/>
      <c r="CH150" s="4"/>
      <c r="CI150" s="13"/>
    </row>
    <row r="151" spans="1:87" ht="18" customHeight="1">
      <c r="A151" s="202"/>
      <c r="B151" s="75" t="s">
        <v>118</v>
      </c>
      <c r="C151" s="12"/>
      <c r="D151" s="160"/>
      <c r="E151" s="161"/>
      <c r="F151" s="12"/>
      <c r="G151" s="50"/>
      <c r="H151" s="162"/>
      <c r="I151" s="159"/>
      <c r="J151" s="50"/>
      <c r="K151" s="180"/>
      <c r="L151" s="12"/>
      <c r="M151" s="86"/>
      <c r="N151" s="86"/>
      <c r="O151" s="181"/>
      <c r="P151" s="181"/>
      <c r="Q151" s="156"/>
      <c r="R151" s="157"/>
      <c r="S151" s="49"/>
      <c r="T151" s="50"/>
      <c r="U151" s="182"/>
      <c r="V151" s="50"/>
      <c r="W151" s="4"/>
      <c r="X151" s="26"/>
      <c r="Y151" s="170"/>
      <c r="Z151" s="187"/>
      <c r="AA151" s="26"/>
      <c r="AB151" s="26"/>
      <c r="AC151" s="494"/>
      <c r="AD151" s="26"/>
      <c r="AE151" s="489"/>
      <c r="AF151" s="236"/>
      <c r="AG151" s="26"/>
      <c r="AH151" s="26"/>
      <c r="AI151" s="173"/>
      <c r="AJ151" s="179"/>
      <c r="AK151" s="179"/>
      <c r="AL151" s="179"/>
      <c r="AM151" s="179"/>
      <c r="AN151" s="174"/>
      <c r="AO151" s="351"/>
      <c r="AP151" s="351"/>
      <c r="AQ151" s="352"/>
      <c r="AR151" s="352"/>
      <c r="AS151" s="350"/>
      <c r="AT151" s="350"/>
      <c r="AU151" s="350"/>
      <c r="AV151" s="350"/>
      <c r="AW151" s="350"/>
      <c r="AX151" s="321"/>
      <c r="AY151" s="422"/>
      <c r="AZ151" s="351"/>
      <c r="BA151" s="352"/>
      <c r="BB151" s="467" t="str">
        <f>IF(BB149=BB150,"OK","エラー")</f>
        <v>エラー</v>
      </c>
      <c r="BC151" s="321"/>
      <c r="BD151" s="452"/>
      <c r="BF151" s="4" t="s">
        <v>260</v>
      </c>
      <c r="BH151" s="12"/>
      <c r="BM151" s="12"/>
      <c r="BR151" s="449"/>
      <c r="BS151" s="12"/>
      <c r="BT151" s="12"/>
      <c r="BU151" s="12"/>
      <c r="BV151" s="12"/>
      <c r="BW151" s="12"/>
      <c r="BX151" s="32" t="s">
        <v>468</v>
      </c>
      <c r="BY151" s="713">
        <f>IF(入力画面!E32=1,1,0)</f>
        <v>1</v>
      </c>
      <c r="BZ151" s="713" t="e">
        <f>IF($BY$151=1,ROUNDDOWN($CF$101*BZ147/BZ148,0),0)</f>
        <v>#DIV/0!</v>
      </c>
      <c r="CA151" s="713" t="e">
        <f>IF($BY$151=1,ROUNDDOWN($CG$101*CA147/CA148,0),0)</f>
        <v>#DIV/0!</v>
      </c>
      <c r="CB151" s="713" t="e">
        <f>IF($BY$151=1,ROUNDDOWN($CH$101*CB147/CB148,0),0)</f>
        <v>#DIV/0!</v>
      </c>
      <c r="CC151" s="713" t="e">
        <f>IF($BY$151=1,ROUNDDOWN($CE$101*CC147/CC148,0),0)</f>
        <v>#DIV/0!</v>
      </c>
      <c r="CD151" s="4"/>
      <c r="CE151" s="4"/>
      <c r="CF151" s="4"/>
      <c r="CG151" s="4"/>
      <c r="CH151" s="4"/>
      <c r="CI151" s="13"/>
    </row>
    <row r="152" spans="1:87" ht="18" customHeight="1">
      <c r="A152" s="58" t="s">
        <v>1</v>
      </c>
      <c r="B152" s="52"/>
      <c r="C152" s="189">
        <f>IF(H149&gt;0,$X$102,0)</f>
        <v>0</v>
      </c>
      <c r="D152" s="203" t="s">
        <v>6</v>
      </c>
      <c r="E152" s="60" t="s">
        <v>131</v>
      </c>
      <c r="F152" s="1204">
        <f>K146</f>
        <v>0</v>
      </c>
      <c r="G152" s="1204"/>
      <c r="H152" s="216" t="s">
        <v>5</v>
      </c>
      <c r="I152" s="1451" t="s">
        <v>14</v>
      </c>
      <c r="J152" s="1451"/>
      <c r="K152" s="1204">
        <f>C152*F152</f>
        <v>0</v>
      </c>
      <c r="L152" s="1204"/>
      <c r="M152" s="204" t="s">
        <v>6</v>
      </c>
      <c r="N152" s="204"/>
      <c r="O152" s="205"/>
      <c r="P152" s="205"/>
      <c r="Q152" s="63"/>
      <c r="R152" s="206"/>
      <c r="S152" s="59"/>
      <c r="T152" s="27"/>
      <c r="U152" s="207"/>
      <c r="V152" s="27"/>
      <c r="W152" s="188"/>
      <c r="X152" s="189"/>
      <c r="Y152" s="208"/>
      <c r="Z152" s="163"/>
      <c r="AA152" s="26"/>
      <c r="AB152" s="26"/>
      <c r="AC152" s="494"/>
      <c r="AD152" s="26"/>
      <c r="AE152" s="489"/>
      <c r="AF152" s="237"/>
      <c r="AG152" s="26"/>
      <c r="AH152" s="26"/>
      <c r="AI152" s="173"/>
      <c r="AJ152" s="179"/>
      <c r="AK152" s="179"/>
      <c r="AL152" s="179"/>
      <c r="AM152" s="179"/>
      <c r="AN152" s="174"/>
      <c r="AO152" s="1298" t="s">
        <v>235</v>
      </c>
      <c r="AP152" s="1298"/>
      <c r="AQ152" s="1298"/>
      <c r="AR152" s="1298"/>
      <c r="AS152" s="350"/>
      <c r="AT152" s="1295" t="s">
        <v>232</v>
      </c>
      <c r="AU152" s="1295"/>
      <c r="AV152" s="350"/>
      <c r="AW152" s="350"/>
      <c r="AX152" s="321"/>
      <c r="AY152" s="423" t="s">
        <v>232</v>
      </c>
      <c r="AZ152" s="376"/>
      <c r="BA152" s="352"/>
      <c r="BB152" s="424"/>
      <c r="BC152" s="321"/>
      <c r="BD152" s="453" t="s">
        <v>232</v>
      </c>
      <c r="BE152" s="402"/>
      <c r="BF152" s="4" t="s">
        <v>261</v>
      </c>
      <c r="BH152" s="12"/>
      <c r="BI152" s="402" t="s">
        <v>232</v>
      </c>
      <c r="BJ152" s="402"/>
      <c r="BM152" s="12"/>
      <c r="BN152" s="402" t="s">
        <v>232</v>
      </c>
      <c r="BO152" s="402"/>
      <c r="BR152" s="449"/>
      <c r="BS152" s="12"/>
      <c r="BT152" s="12"/>
      <c r="BU152" s="12"/>
      <c r="BV152" s="12"/>
      <c r="BW152" s="12"/>
      <c r="BX152" s="4"/>
      <c r="BY152" s="26"/>
      <c r="BZ152" s="26"/>
      <c r="CA152" s="26"/>
      <c r="CB152" s="26"/>
      <c r="CC152" s="4"/>
      <c r="CD152" s="4"/>
      <c r="CE152" s="4"/>
      <c r="CF152" s="4"/>
      <c r="CG152" s="4"/>
      <c r="CH152" s="4"/>
      <c r="CI152" s="13"/>
    </row>
    <row r="153" spans="1:87" ht="18" customHeight="1">
      <c r="D153" s="101"/>
      <c r="E153" s="70"/>
      <c r="G153" s="9"/>
      <c r="H153" s="102"/>
      <c r="I153" s="5"/>
      <c r="J153" s="9"/>
      <c r="K153" s="18"/>
      <c r="M153" s="103"/>
      <c r="P153" s="103"/>
      <c r="Q153" s="70"/>
      <c r="R153" s="104"/>
      <c r="S153" s="68"/>
      <c r="T153" s="68"/>
      <c r="U153" s="68"/>
      <c r="V153" s="18"/>
      <c r="AA153" s="26"/>
      <c r="AB153" s="26"/>
      <c r="AC153" s="494"/>
      <c r="AD153" s="26"/>
      <c r="AE153" s="489"/>
      <c r="AF153" s="233"/>
      <c r="AG153" s="26"/>
      <c r="AH153" s="26"/>
      <c r="AI153" s="173"/>
      <c r="AJ153" s="173"/>
      <c r="AK153" s="173"/>
      <c r="AL153" s="173"/>
      <c r="AM153" s="173"/>
      <c r="AN153" s="174"/>
      <c r="AO153" s="370" t="s">
        <v>219</v>
      </c>
      <c r="AP153" s="1283" t="s">
        <v>234</v>
      </c>
      <c r="AQ153" s="1283"/>
      <c r="AR153" s="1283"/>
      <c r="AS153" s="372"/>
      <c r="AT153" s="1321" t="s">
        <v>220</v>
      </c>
      <c r="AU153" s="1321"/>
      <c r="AV153" s="1321"/>
      <c r="AW153" s="1321"/>
      <c r="AX153" s="321"/>
      <c r="AY153" s="419" t="s">
        <v>226</v>
      </c>
      <c r="AZ153" s="1290" t="s">
        <v>225</v>
      </c>
      <c r="BA153" s="1290"/>
      <c r="BB153" s="1291"/>
      <c r="BC153" s="321"/>
      <c r="BD153" s="1267" t="s">
        <v>264</v>
      </c>
      <c r="BE153" s="1268"/>
      <c r="BF153" s="1268"/>
      <c r="BG153" s="1268"/>
      <c r="BH153" s="12"/>
      <c r="BI153" s="440" t="s">
        <v>265</v>
      </c>
      <c r="BJ153" s="1269" t="s">
        <v>263</v>
      </c>
      <c r="BK153" s="1269"/>
      <c r="BL153" s="1269"/>
      <c r="BM153" s="12"/>
      <c r="BN153" s="12"/>
      <c r="BO153" s="143" t="s">
        <v>266</v>
      </c>
      <c r="BP153" s="12" t="s">
        <v>88</v>
      </c>
      <c r="BQ153" s="12"/>
      <c r="BR153" s="449"/>
      <c r="BS153" s="12"/>
      <c r="BT153" s="12"/>
      <c r="BU153" s="12"/>
      <c r="BV153" s="12"/>
      <c r="BW153" s="12"/>
      <c r="BX153" s="4"/>
      <c r="BY153" s="4"/>
      <c r="BZ153" s="4"/>
      <c r="CA153" s="4"/>
      <c r="CB153" s="4"/>
      <c r="CC153" s="4"/>
      <c r="CD153" s="4"/>
      <c r="CE153" s="4"/>
      <c r="CF153" s="4"/>
      <c r="CG153" s="4"/>
      <c r="CH153" s="4"/>
      <c r="CI153" s="13"/>
    </row>
    <row r="154" spans="1:87" ht="18" customHeight="1">
      <c r="A154" s="196" t="s">
        <v>45</v>
      </c>
      <c r="B154" s="1382">
        <f>B65</f>
        <v>0</v>
      </c>
      <c r="C154" s="1382"/>
      <c r="D154" s="1382"/>
      <c r="E154" s="198" t="s">
        <v>11</v>
      </c>
      <c r="F154" s="1412" t="s">
        <v>57</v>
      </c>
      <c r="G154" s="1412"/>
      <c r="H154" s="1469"/>
      <c r="I154" s="1449">
        <f>IF(I65=1,1,0)</f>
        <v>0</v>
      </c>
      <c r="J154" s="1450"/>
      <c r="K154" s="1373">
        <f>IF(H159=0,0,IF(K147=0, "加入月が未入力です!！",IF($L$176=$A$176,"限度超過額に達しているため計算不可能!!",IF(U156-U155=U157,"エラー名前を入力されているが加入月未入力!！",IF(H159&gt;K156,"加入月未入力エラー!！",0)))))</f>
        <v>0</v>
      </c>
      <c r="L154" s="1374"/>
      <c r="M154" s="1374"/>
      <c r="N154" s="1374"/>
      <c r="O154" s="1374"/>
      <c r="P154" s="1374"/>
      <c r="Q154" s="1374"/>
      <c r="R154" s="1374"/>
      <c r="S154" s="1375"/>
      <c r="T154" s="197" t="s">
        <v>47</v>
      </c>
      <c r="U154" s="1383">
        <f>IF(U159&gt;0,"支援分",0)</f>
        <v>0</v>
      </c>
      <c r="V154" s="1384"/>
      <c r="W154" s="1385" t="s">
        <v>46</v>
      </c>
      <c r="X154" s="1164"/>
      <c r="Y154" s="1164"/>
      <c r="Z154" s="1165"/>
      <c r="AA154" s="26"/>
      <c r="AB154" s="26"/>
      <c r="AC154" s="494"/>
      <c r="AD154" s="26"/>
      <c r="AE154" s="489"/>
      <c r="AF154" s="238" t="s">
        <v>117</v>
      </c>
      <c r="AG154" s="26"/>
      <c r="AH154" s="276">
        <f>IF(K156=0,0,IF(K156&lt;12,1,0))</f>
        <v>0</v>
      </c>
      <c r="AI154" s="173"/>
      <c r="AJ154" s="173"/>
      <c r="AK154" s="173"/>
      <c r="AL154" s="173"/>
      <c r="AM154" s="173"/>
      <c r="AN154" s="369" t="s">
        <v>149</v>
      </c>
      <c r="AO154" s="1205" t="s">
        <v>222</v>
      </c>
      <c r="AP154" s="1280"/>
      <c r="AQ154" s="1326">
        <f>IF(AR70=0,0,ROUNDDOWN(AR160/(AW71+AR160),8))</f>
        <v>0</v>
      </c>
      <c r="AR154" s="1327"/>
      <c r="AS154" s="373"/>
      <c r="AT154" s="1205" t="s">
        <v>215</v>
      </c>
      <c r="AU154" s="1280"/>
      <c r="AV154" s="1296">
        <f>IF($AG$2&gt;0,0,AR160-AR159)</f>
        <v>0</v>
      </c>
      <c r="AW154" s="1297"/>
      <c r="AX154" s="321"/>
      <c r="AY154" s="1279" t="s">
        <v>46</v>
      </c>
      <c r="AZ154" s="1280"/>
      <c r="BA154" s="1292">
        <f>IF(R156+R159=0,0,IF(K157&gt;K156,"期割がアンマッチ使用禁止↓",0))</f>
        <v>0</v>
      </c>
      <c r="BB154" s="1293"/>
      <c r="BC154" s="321"/>
      <c r="BD154" s="1272" t="s">
        <v>46</v>
      </c>
      <c r="BE154" s="1273"/>
      <c r="BF154" s="1304" t="s">
        <v>87</v>
      </c>
      <c r="BG154" s="1305"/>
      <c r="BH154" s="12"/>
      <c r="BI154" s="1139" t="s">
        <v>89</v>
      </c>
      <c r="BJ154" s="1273"/>
      <c r="BK154" s="441"/>
      <c r="BL154" s="442"/>
      <c r="BM154" s="12"/>
      <c r="BN154" s="1139" t="s">
        <v>46</v>
      </c>
      <c r="BO154" s="1273"/>
      <c r="BP154" s="1270"/>
      <c r="BQ154" s="1271"/>
      <c r="BR154" s="449"/>
      <c r="BS154" s="12"/>
      <c r="BT154" s="12"/>
      <c r="BU154" s="12"/>
      <c r="BV154" s="12"/>
      <c r="BW154" s="12"/>
      <c r="BX154" s="4"/>
      <c r="BY154" s="4"/>
      <c r="BZ154" s="4"/>
      <c r="CA154" s="4"/>
      <c r="CB154" s="4"/>
      <c r="CC154" s="4"/>
      <c r="CD154" s="4"/>
      <c r="CE154" s="4"/>
      <c r="CF154" s="4"/>
      <c r="CG154" s="4"/>
      <c r="CH154" s="4"/>
      <c r="CI154" s="13"/>
    </row>
    <row r="155" spans="1:87" ht="18" customHeight="1">
      <c r="A155" s="165"/>
      <c r="B155" s="12"/>
      <c r="C155" s="75" t="s">
        <v>33</v>
      </c>
      <c r="D155" s="12"/>
      <c r="E155" s="12"/>
      <c r="F155" s="12"/>
      <c r="G155" s="12"/>
      <c r="H155" s="50"/>
      <c r="I155" s="93"/>
      <c r="J155" s="12"/>
      <c r="K155" s="76" t="s">
        <v>9</v>
      </c>
      <c r="L155" s="12"/>
      <c r="M155" s="1414"/>
      <c r="N155" s="1414"/>
      <c r="O155" s="1414"/>
      <c r="P155" s="1414"/>
      <c r="Q155" s="1414"/>
      <c r="R155" s="1414"/>
      <c r="S155" s="1415"/>
      <c r="T155" s="72" t="s">
        <v>30</v>
      </c>
      <c r="U155" s="105">
        <f>R156+R159</f>
        <v>0</v>
      </c>
      <c r="V155" s="88" t="s">
        <v>6</v>
      </c>
      <c r="W155" s="80" t="s">
        <v>34</v>
      </c>
      <c r="X155" s="29">
        <f t="shared" ref="X155:X160" si="95">IF($AH$13&gt;0,0,AZ155)</f>
        <v>0</v>
      </c>
      <c r="Y155" s="80" t="s">
        <v>39</v>
      </c>
      <c r="Z155" s="31">
        <f>IF($AH$13&gt;0,0,BB155)</f>
        <v>0</v>
      </c>
      <c r="AA155" s="4"/>
      <c r="AB155" s="4"/>
      <c r="AC155" s="492"/>
      <c r="AD155" s="4"/>
      <c r="AE155" s="74"/>
      <c r="AF155" s="219">
        <f>AF156+AF159+AF162</f>
        <v>0</v>
      </c>
      <c r="AG155" s="4"/>
      <c r="AH155" s="4"/>
      <c r="AI155" s="174"/>
      <c r="AJ155" s="174"/>
      <c r="AK155" s="174"/>
      <c r="AL155" s="174"/>
      <c r="AM155" s="174"/>
      <c r="AN155" s="174"/>
      <c r="AO155" s="126" t="s">
        <v>34</v>
      </c>
      <c r="AP155" s="347">
        <f>ROUND((AP66-AP244)*AQ154,0)</f>
        <v>0</v>
      </c>
      <c r="AQ155" s="354" t="s">
        <v>39</v>
      </c>
      <c r="AR155" s="348">
        <f>ROUND((AR66-AR244)*AQ154,0)</f>
        <v>0</v>
      </c>
      <c r="AS155" s="374"/>
      <c r="AT155" s="126" t="s">
        <v>34</v>
      </c>
      <c r="AU155" s="347">
        <f>IF(AV154=0,0,IF(AV154&gt;=10,1,IF(AV154&lt;=-10,-1,0)))</f>
        <v>0</v>
      </c>
      <c r="AV155" s="354" t="s">
        <v>39</v>
      </c>
      <c r="AW155" s="348">
        <f>IF(AV154=0,0,IF(AV154&gt;=4,1,IF(AV154&lt;=-4,-1,0)))</f>
        <v>0</v>
      </c>
      <c r="AX155" s="321"/>
      <c r="AY155" s="260" t="s">
        <v>34</v>
      </c>
      <c r="AZ155" s="375">
        <f t="shared" ref="AZ155:AZ160" si="96">IF($AG$2&gt;0,"限度超過",IF($A$176=$L$176,"限度超過",AP155+AU155))</f>
        <v>0</v>
      </c>
      <c r="BA155" s="322" t="s">
        <v>39</v>
      </c>
      <c r="BB155" s="127">
        <f>IF($AG$2&gt;0,"限度超過",IF($A$176=$L$176,"限度超過",AR155+AW155))</f>
        <v>0</v>
      </c>
      <c r="BC155" s="321"/>
      <c r="BD155" s="451" t="s">
        <v>34</v>
      </c>
      <c r="BE155" s="81">
        <f t="shared" ref="BE155:BE160" si="97">BE145</f>
        <v>0</v>
      </c>
      <c r="BF155" s="82" t="s">
        <v>39</v>
      </c>
      <c r="BG155" s="29">
        <f>BG145</f>
        <v>0</v>
      </c>
      <c r="BH155" s="12"/>
      <c r="BI155" s="80" t="s">
        <v>34</v>
      </c>
      <c r="BJ155" s="29">
        <f t="shared" ref="BJ155:BJ160" si="98">IF($A$176=$L$176,"限度超過",IF(BE155=0,0,BE155/$S$94))</f>
        <v>0</v>
      </c>
      <c r="BK155" s="80" t="s">
        <v>39</v>
      </c>
      <c r="BL155" s="29">
        <f>IF($A$176=$L$176,"限度超過",IF(BG155=0,0,BG155/$S$94))</f>
        <v>0</v>
      </c>
      <c r="BM155" s="12"/>
      <c r="BN155" s="30" t="s">
        <v>34</v>
      </c>
      <c r="BO155" s="29">
        <f t="shared" ref="BO155:BO160" si="99">IF($A$176=$L$176,"限度超過",IF($S$94&lt;=5,0,BJ155))</f>
        <v>0</v>
      </c>
      <c r="BP155" s="80" t="s">
        <v>39</v>
      </c>
      <c r="BQ155" s="29">
        <f>IF($A$176=$L$176,"限度超過",IF($S$94&lt;=5,0,BL155))</f>
        <v>0</v>
      </c>
      <c r="BR155" s="449"/>
      <c r="BS155" s="12"/>
      <c r="BT155" s="12"/>
      <c r="BU155" s="12"/>
      <c r="BV155" s="12"/>
      <c r="BW155" s="12"/>
      <c r="BX155" s="32"/>
      <c r="BY155" s="33" t="str">
        <f>BY145</f>
        <v>料率</v>
      </c>
      <c r="BZ155" s="33">
        <f>BZ145</f>
        <v>7</v>
      </c>
      <c r="CA155" s="33">
        <f>CA145</f>
        <v>5</v>
      </c>
      <c r="CB155" s="33">
        <f>CB145</f>
        <v>2</v>
      </c>
      <c r="CC155" s="713" t="s">
        <v>467</v>
      </c>
      <c r="CD155" s="4"/>
      <c r="CE155" s="4"/>
      <c r="CF155" s="4"/>
      <c r="CG155" s="4"/>
      <c r="CH155" s="4"/>
      <c r="CI155" s="13"/>
    </row>
    <row r="156" spans="1:87" ht="18" customHeight="1">
      <c r="A156" s="1421" t="s">
        <v>0</v>
      </c>
      <c r="B156" s="1448" t="s">
        <v>129</v>
      </c>
      <c r="C156" s="1376">
        <f>C67</f>
        <v>0</v>
      </c>
      <c r="D156" s="855" t="s">
        <v>58</v>
      </c>
      <c r="E156" s="1416">
        <f>IF(H159&gt;0,$CE$100, 0)</f>
        <v>0</v>
      </c>
      <c r="F156" s="1380" t="s">
        <v>22</v>
      </c>
      <c r="G156" s="855" t="s">
        <v>59</v>
      </c>
      <c r="H156" s="85">
        <f>IF(H159&gt;0,$CE$96,0)</f>
        <v>0</v>
      </c>
      <c r="I156" s="1277" t="s">
        <v>22</v>
      </c>
      <c r="J156" s="855" t="s">
        <v>59</v>
      </c>
      <c r="K156" s="51">
        <f>K67</f>
        <v>0</v>
      </c>
      <c r="L156" s="52" t="s">
        <v>5</v>
      </c>
      <c r="M156" s="1380"/>
      <c r="N156" s="1407"/>
      <c r="O156" s="86"/>
      <c r="P156" s="1377" t="s">
        <v>130</v>
      </c>
      <c r="Q156" s="1377"/>
      <c r="R156" s="1403">
        <f>ROUNDDOWN(IF(((C156-E156)*H156/H157)*K156/K157&lt;0,0,((C156-E156)*H156/H157)*K156/K157),0)</f>
        <v>0</v>
      </c>
      <c r="S156" s="1381" t="s">
        <v>6</v>
      </c>
      <c r="T156" s="72" t="s">
        <v>1</v>
      </c>
      <c r="U156" s="105">
        <f>IF(H159=0,0,K162)</f>
        <v>0</v>
      </c>
      <c r="V156" s="88" t="s">
        <v>6</v>
      </c>
      <c r="W156" s="30" t="s">
        <v>35</v>
      </c>
      <c r="X156" s="29">
        <f t="shared" si="95"/>
        <v>0</v>
      </c>
      <c r="Y156" s="30" t="s">
        <v>40</v>
      </c>
      <c r="Z156" s="31">
        <f>IF($AH$13&gt;0,0,BB156)</f>
        <v>0</v>
      </c>
      <c r="AB156" s="4"/>
      <c r="AC156" s="492"/>
      <c r="AD156" s="4"/>
      <c r="AE156" s="74"/>
      <c r="AF156" s="1386">
        <f>ROUNDDOWN(IF(((C156-E156)*H156/H157)&lt;0,0,((C156-E156)*H156/H157)),0)</f>
        <v>0</v>
      </c>
      <c r="AG156" s="4"/>
      <c r="AH156" s="4"/>
      <c r="AI156" s="174"/>
      <c r="AJ156" s="174"/>
      <c r="AK156" s="174"/>
      <c r="AL156" s="174"/>
      <c r="AM156" s="174"/>
      <c r="AN156" s="174"/>
      <c r="AO156" s="126" t="s">
        <v>35</v>
      </c>
      <c r="AP156" s="347">
        <f>ROUND((AP67-AP245)*AQ154,0)</f>
        <v>0</v>
      </c>
      <c r="AQ156" s="354" t="s">
        <v>40</v>
      </c>
      <c r="AR156" s="348">
        <f>ROUND((AR67-AR245)*AQ154,0)</f>
        <v>0</v>
      </c>
      <c r="AS156" s="374"/>
      <c r="AT156" s="126" t="s">
        <v>35</v>
      </c>
      <c r="AU156" s="347">
        <f>IF(AV154=0,0,IF(AV154&gt;=9,1,IF(AV154&lt;=-9,-1,0)))</f>
        <v>0</v>
      </c>
      <c r="AV156" s="354" t="s">
        <v>40</v>
      </c>
      <c r="AW156" s="348">
        <f>IF(AV154=0,0,IF(AV154&gt;=3,1,IF(AV154&lt;=-3,-1,0)))</f>
        <v>0</v>
      </c>
      <c r="AX156" s="321"/>
      <c r="AY156" s="264" t="s">
        <v>35</v>
      </c>
      <c r="AZ156" s="375">
        <f t="shared" si="96"/>
        <v>0</v>
      </c>
      <c r="BA156" s="322" t="s">
        <v>40</v>
      </c>
      <c r="BB156" s="127">
        <f>IF($AG$2&gt;0,"限度超過",IF($A$176=$L$176,"限度超過",AR156+AW156))</f>
        <v>0</v>
      </c>
      <c r="BC156" s="321"/>
      <c r="BD156" s="451" t="s">
        <v>35</v>
      </c>
      <c r="BE156" s="81">
        <f t="shared" si="97"/>
        <v>0</v>
      </c>
      <c r="BF156" s="82" t="s">
        <v>40</v>
      </c>
      <c r="BG156" s="29">
        <f>BG146</f>
        <v>0</v>
      </c>
      <c r="BH156" s="12"/>
      <c r="BI156" s="30" t="s">
        <v>35</v>
      </c>
      <c r="BJ156" s="29">
        <f t="shared" si="98"/>
        <v>0</v>
      </c>
      <c r="BK156" s="30" t="s">
        <v>40</v>
      </c>
      <c r="BL156" s="29">
        <f>IF($A$176=$L$176,"限度超過",IF(BG156=0,0,BG156/$S$94))</f>
        <v>0</v>
      </c>
      <c r="BM156" s="12"/>
      <c r="BN156" s="30" t="s">
        <v>35</v>
      </c>
      <c r="BO156" s="29">
        <f t="shared" si="99"/>
        <v>0</v>
      </c>
      <c r="BP156" s="30" t="s">
        <v>40</v>
      </c>
      <c r="BQ156" s="29">
        <f>IF($A$176=$L$176,"限度超過",IF($S$94&lt;=5,0,BL156))</f>
        <v>0</v>
      </c>
      <c r="BR156" s="449"/>
      <c r="BS156" s="12"/>
      <c r="BT156" s="12"/>
      <c r="BU156" s="12"/>
      <c r="BV156" s="12"/>
      <c r="BW156" s="12"/>
      <c r="BX156" s="32" t="s">
        <v>17</v>
      </c>
      <c r="BY156" s="44">
        <v>0</v>
      </c>
      <c r="BZ156" s="45">
        <f>$CF$97</f>
        <v>6420</v>
      </c>
      <c r="CA156" s="45">
        <f>$CG$97</f>
        <v>4590</v>
      </c>
      <c r="CB156" s="45">
        <f>$CH$97</f>
        <v>1840</v>
      </c>
      <c r="CC156" s="713"/>
      <c r="CD156" s="4"/>
      <c r="CE156" s="4"/>
      <c r="CF156" s="4"/>
      <c r="CG156" s="4"/>
      <c r="CH156" s="4"/>
      <c r="CI156" s="13"/>
    </row>
    <row r="157" spans="1:87" ht="18" customHeight="1">
      <c r="A157" s="1421"/>
      <c r="B157" s="1448"/>
      <c r="C157" s="1376"/>
      <c r="D157" s="855"/>
      <c r="E157" s="1416"/>
      <c r="F157" s="1380"/>
      <c r="G157" s="855"/>
      <c r="H157" s="39">
        <v>100</v>
      </c>
      <c r="I157" s="1277"/>
      <c r="J157" s="855"/>
      <c r="K157" s="55">
        <v>12</v>
      </c>
      <c r="L157" s="12" t="s">
        <v>5</v>
      </c>
      <c r="M157" s="1380"/>
      <c r="N157" s="1407"/>
      <c r="O157" s="86"/>
      <c r="P157" s="1377"/>
      <c r="Q157" s="1377"/>
      <c r="R157" s="1403"/>
      <c r="S157" s="1381"/>
      <c r="T157" s="72" t="s">
        <v>29</v>
      </c>
      <c r="U157" s="105">
        <f>U155+U156</f>
        <v>0</v>
      </c>
      <c r="V157" s="88" t="s">
        <v>6</v>
      </c>
      <c r="W157" s="30" t="s">
        <v>36</v>
      </c>
      <c r="X157" s="29">
        <f t="shared" si="95"/>
        <v>0</v>
      </c>
      <c r="Y157" s="30" t="s">
        <v>41</v>
      </c>
      <c r="Z157" s="31">
        <f>IF($AH$13&gt;0,0,BB157)</f>
        <v>0</v>
      </c>
      <c r="AB157" s="4"/>
      <c r="AC157" s="492"/>
      <c r="AD157" s="4"/>
      <c r="AE157" s="74"/>
      <c r="AF157" s="1363"/>
      <c r="AG157" s="4"/>
      <c r="AH157" s="4"/>
      <c r="AI157" s="174"/>
      <c r="AJ157" s="174"/>
      <c r="AK157" s="174"/>
      <c r="AL157" s="174"/>
      <c r="AM157" s="174"/>
      <c r="AN157" s="174"/>
      <c r="AO157" s="126" t="s">
        <v>36</v>
      </c>
      <c r="AP157" s="347">
        <f>ROUND((AP68-AP246)*AQ154,0)</f>
        <v>0</v>
      </c>
      <c r="AQ157" s="354" t="s">
        <v>41</v>
      </c>
      <c r="AR157" s="348">
        <f>ROUND((AR68-AR246)*AQ154,0)</f>
        <v>0</v>
      </c>
      <c r="AS157" s="353"/>
      <c r="AT157" s="126" t="s">
        <v>36</v>
      </c>
      <c r="AU157" s="347">
        <f>IF(AV154=0,0,IF(AV154&gt;=8,1,IF(AV154&lt;=-8,-1,0)))</f>
        <v>0</v>
      </c>
      <c r="AV157" s="354" t="s">
        <v>41</v>
      </c>
      <c r="AW157" s="348">
        <f>IF(AV154=0,0,IF(AV154&gt;=2,1,IF(AV154&lt;=-2,-1,0)))</f>
        <v>0</v>
      </c>
      <c r="AX157" s="321"/>
      <c r="AY157" s="264" t="s">
        <v>36</v>
      </c>
      <c r="AZ157" s="375">
        <f t="shared" si="96"/>
        <v>0</v>
      </c>
      <c r="BA157" s="322" t="s">
        <v>41</v>
      </c>
      <c r="BB157" s="127">
        <f>IF($AG$2&gt;0,"限度超過",IF($A$176=$L$176,"限度超過",AR157+AW157))</f>
        <v>0</v>
      </c>
      <c r="BC157" s="321"/>
      <c r="BD157" s="451" t="s">
        <v>36</v>
      </c>
      <c r="BE157" s="81">
        <f t="shared" si="97"/>
        <v>0</v>
      </c>
      <c r="BF157" s="82" t="s">
        <v>41</v>
      </c>
      <c r="BG157" s="29">
        <f>BG147</f>
        <v>0</v>
      </c>
      <c r="BH157" s="12"/>
      <c r="BI157" s="30" t="s">
        <v>36</v>
      </c>
      <c r="BJ157" s="29">
        <f t="shared" si="98"/>
        <v>0</v>
      </c>
      <c r="BK157" s="30" t="s">
        <v>41</v>
      </c>
      <c r="BL157" s="29">
        <f>IF($A$176=$L$176,"限度超過",IF(BG157=0,0,BG157/$S$94))</f>
        <v>0</v>
      </c>
      <c r="BM157" s="12"/>
      <c r="BN157" s="30" t="s">
        <v>36</v>
      </c>
      <c r="BO157" s="29">
        <f t="shared" si="99"/>
        <v>0</v>
      </c>
      <c r="BP157" s="30" t="s">
        <v>41</v>
      </c>
      <c r="BQ157" s="29">
        <f>IF($A$176=$L$176,"限度超過",IF($S$94&lt;=5,0,BL157))</f>
        <v>0</v>
      </c>
      <c r="BR157" s="449"/>
      <c r="BS157" s="12"/>
      <c r="BT157" s="12"/>
      <c r="BU157" s="12"/>
      <c r="BV157" s="12"/>
      <c r="BW157" s="12"/>
      <c r="BX157" s="32" t="s">
        <v>8</v>
      </c>
      <c r="BY157" s="45">
        <f>K159</f>
        <v>0</v>
      </c>
      <c r="BZ157" s="45">
        <f t="shared" ref="BZ157:CB159" si="100">BY157</f>
        <v>0</v>
      </c>
      <c r="CA157" s="45">
        <f t="shared" si="100"/>
        <v>0</v>
      </c>
      <c r="CB157" s="45">
        <f t="shared" si="100"/>
        <v>0</v>
      </c>
      <c r="CC157" s="713">
        <f>CB157</f>
        <v>0</v>
      </c>
      <c r="CD157" s="4"/>
      <c r="CE157" s="4"/>
      <c r="CF157" s="4"/>
      <c r="CG157" s="4"/>
      <c r="CH157" s="4"/>
      <c r="CI157" s="13"/>
    </row>
    <row r="158" spans="1:87" ht="18" customHeight="1">
      <c r="A158" s="165"/>
      <c r="B158" s="12"/>
      <c r="C158" s="50"/>
      <c r="D158" s="12"/>
      <c r="E158" s="12"/>
      <c r="F158" s="12"/>
      <c r="G158" s="12"/>
      <c r="H158" s="91"/>
      <c r="I158" s="75"/>
      <c r="J158" s="75"/>
      <c r="K158" s="92"/>
      <c r="L158" s="75"/>
      <c r="M158" s="93"/>
      <c r="N158" s="714" t="str">
        <f>IF(入力画面!E37=1,"未就学児",0)</f>
        <v>未就学児</v>
      </c>
      <c r="O158" s="42">
        <f>IF(H159=0,0,$D$94)</f>
        <v>0</v>
      </c>
      <c r="P158" s="466">
        <f>IF(O159=0,0,"軽減額")</f>
        <v>0</v>
      </c>
      <c r="Q158" s="12"/>
      <c r="R158" s="95"/>
      <c r="S158" s="49"/>
      <c r="T158" s="96" t="s">
        <v>31</v>
      </c>
      <c r="U158" s="105">
        <f>ROUNDDOWN(U157,-2)</f>
        <v>0</v>
      </c>
      <c r="V158" s="88" t="s">
        <v>6</v>
      </c>
      <c r="W158" s="30" t="s">
        <v>43</v>
      </c>
      <c r="X158" s="29">
        <f t="shared" si="95"/>
        <v>0</v>
      </c>
      <c r="Y158" s="30" t="s">
        <v>42</v>
      </c>
      <c r="Z158" s="31">
        <f>IF($AH$13&gt;0,0,BB158)</f>
        <v>0</v>
      </c>
      <c r="AB158" s="4"/>
      <c r="AC158" s="492"/>
      <c r="AD158" s="4"/>
      <c r="AE158" s="500" t="str">
        <f>IF($AH$13&gt;0,"－",IF($AG$2&gt;0,"限度超過",IF(U159=Z159,"OK","ｱﾝﾏｯﾁ")))</f>
        <v>OK</v>
      </c>
      <c r="AF158" s="499"/>
      <c r="AG158" s="4"/>
      <c r="AI158" s="174"/>
      <c r="AJ158" s="174"/>
      <c r="AK158" s="174"/>
      <c r="AL158" s="174"/>
      <c r="AM158" s="174"/>
      <c r="AN158" s="174"/>
      <c r="AO158" s="126" t="s">
        <v>43</v>
      </c>
      <c r="AP158" s="347">
        <f>ROUND((AP69-AP247)*AQ154,0)</f>
        <v>0</v>
      </c>
      <c r="AQ158" s="354" t="s">
        <v>42</v>
      </c>
      <c r="AR158" s="348">
        <f>ROUND((AR69-AR247)*AQ154,0)</f>
        <v>0</v>
      </c>
      <c r="AS158" s="353"/>
      <c r="AT158" s="126" t="s">
        <v>43</v>
      </c>
      <c r="AU158" s="347">
        <f>IF(AV154=0,0,IF(AV154&gt;=7,1,IF(AV154&lt;=-7,-1,0)))</f>
        <v>0</v>
      </c>
      <c r="AV158" s="354" t="s">
        <v>42</v>
      </c>
      <c r="AW158" s="348">
        <f>IF(AV154=0,0,IF(AV154&gt;=1,1,IF(AV154&lt;=-1,-1,0)))</f>
        <v>0</v>
      </c>
      <c r="AX158" s="321"/>
      <c r="AY158" s="264" t="s">
        <v>43</v>
      </c>
      <c r="AZ158" s="375">
        <f t="shared" si="96"/>
        <v>0</v>
      </c>
      <c r="BA158" s="322" t="s">
        <v>42</v>
      </c>
      <c r="BB158" s="127">
        <f>IF($AG$2&gt;0,"限度超過",IF($A$176=$L$176,"限度超過",AR158+AW158))</f>
        <v>0</v>
      </c>
      <c r="BC158" s="321"/>
      <c r="BD158" s="451" t="s">
        <v>43</v>
      </c>
      <c r="BE158" s="81">
        <f t="shared" si="97"/>
        <v>0</v>
      </c>
      <c r="BF158" s="82" t="s">
        <v>42</v>
      </c>
      <c r="BG158" s="29">
        <f>BG148</f>
        <v>0</v>
      </c>
      <c r="BH158" s="12"/>
      <c r="BI158" s="30" t="s">
        <v>43</v>
      </c>
      <c r="BJ158" s="29">
        <f t="shared" si="98"/>
        <v>0</v>
      </c>
      <c r="BK158" s="30" t="s">
        <v>42</v>
      </c>
      <c r="BL158" s="29">
        <f>IF($A$176=$L$176,"限度超過",IF(BG158=0,0,BG158/$S$94))</f>
        <v>0</v>
      </c>
      <c r="BM158" s="12"/>
      <c r="BN158" s="30" t="s">
        <v>43</v>
      </c>
      <c r="BO158" s="29">
        <f t="shared" si="99"/>
        <v>0</v>
      </c>
      <c r="BP158" s="30" t="s">
        <v>42</v>
      </c>
      <c r="BQ158" s="29">
        <f>IF($A$176=$L$176,"限度超過",IF($S$94&lt;=5,0,BL158))</f>
        <v>0</v>
      </c>
      <c r="BR158" s="449"/>
      <c r="BS158" s="12"/>
      <c r="BT158" s="12"/>
      <c r="BU158" s="12"/>
      <c r="BV158" s="12"/>
      <c r="BW158" s="12"/>
      <c r="BX158" s="32" t="s">
        <v>25</v>
      </c>
      <c r="BY158" s="45">
        <f>K160</f>
        <v>0</v>
      </c>
      <c r="BZ158" s="45">
        <f t="shared" si="100"/>
        <v>0</v>
      </c>
      <c r="CA158" s="45">
        <f t="shared" si="100"/>
        <v>0</v>
      </c>
      <c r="CB158" s="45">
        <f t="shared" si="100"/>
        <v>0</v>
      </c>
      <c r="CC158" s="713">
        <f>CB158</f>
        <v>0</v>
      </c>
      <c r="CD158" s="4"/>
      <c r="CE158" s="4"/>
      <c r="CF158" s="4"/>
      <c r="CG158" s="4"/>
      <c r="CH158" s="4"/>
      <c r="CI158" s="13"/>
    </row>
    <row r="159" spans="1:87" ht="18" customHeight="1">
      <c r="A159" s="1421" t="s">
        <v>10</v>
      </c>
      <c r="B159" s="12"/>
      <c r="C159" s="12"/>
      <c r="D159" s="1419" t="s">
        <v>7</v>
      </c>
      <c r="E159" s="1416">
        <f>IF(H159&gt;0,$CE$97,0)</f>
        <v>0</v>
      </c>
      <c r="F159" s="97"/>
      <c r="G159" s="855" t="s">
        <v>59</v>
      </c>
      <c r="H159" s="1413">
        <f>IF(B154=0,0,SUBTOTAL(3,B154))</f>
        <v>0</v>
      </c>
      <c r="I159" s="1277" t="s">
        <v>22</v>
      </c>
      <c r="J159" s="855" t="s">
        <v>59</v>
      </c>
      <c r="K159" s="51">
        <f>IF(H159&gt;0,K156,0)</f>
        <v>0</v>
      </c>
      <c r="L159" s="52" t="s">
        <v>5</v>
      </c>
      <c r="M159" s="1407" t="s">
        <v>122</v>
      </c>
      <c r="N159" s="1402">
        <f>IF(O159=0,0,"―")</f>
        <v>0</v>
      </c>
      <c r="O159" s="1404">
        <f>IF(H159=0,0,IF(BY161=0,IF($D$94=7,BZ160,IF($D$94=5,CA160,IF($D$94=2,CB160,CC160))),IF($D$94=7,BZ160+BZ161,IF($D$94=5,CA160+CA161,IF($D$94=2,CB160+CB161,CC160+CC161)))))</f>
        <v>0</v>
      </c>
      <c r="P159" s="1405"/>
      <c r="Q159" s="1377" t="s">
        <v>130</v>
      </c>
      <c r="R159" s="1403">
        <f>IF(H159&gt;0,IF(K156=0,0,ROUNDDOWN(((E159*H159)*K159/K160)-O159,0)),0)</f>
        <v>0</v>
      </c>
      <c r="S159" s="1381" t="s">
        <v>6</v>
      </c>
      <c r="T159" s="1207" t="s">
        <v>32</v>
      </c>
      <c r="U159" s="1458">
        <f>IF($L$176=$A$176,"限度超過!",U157)</f>
        <v>0</v>
      </c>
      <c r="V159" s="1470" t="s">
        <v>6</v>
      </c>
      <c r="W159" s="30" t="s">
        <v>37</v>
      </c>
      <c r="X159" s="29">
        <f t="shared" si="95"/>
        <v>0</v>
      </c>
      <c r="Y159" s="1199" t="s">
        <v>44</v>
      </c>
      <c r="Z159" s="1394">
        <f>IF($AH$13&gt;0,0,BB159)</f>
        <v>0</v>
      </c>
      <c r="AB159" s="4"/>
      <c r="AC159" s="492"/>
      <c r="AD159" s="4"/>
      <c r="AE159" s="500" t="str">
        <f>IF($AG$2&gt;0,"限度超過",IF(X155+X156+X157+X158+X159+X160+Z155+Z156+Z157+Z158=Z159,"OK","エラー"))</f>
        <v>OK</v>
      </c>
      <c r="AF159" s="1362">
        <f>IF(H159&gt;0,IF(K156=0,0,ROUNDDOWN((E159*H159)-O159,0)),0)</f>
        <v>0</v>
      </c>
      <c r="AG159" s="4"/>
      <c r="AI159" s="174"/>
      <c r="AJ159" s="174"/>
      <c r="AK159" s="174"/>
      <c r="AL159" s="174"/>
      <c r="AM159" s="174"/>
      <c r="AN159" s="174"/>
      <c r="AO159" s="126" t="s">
        <v>37</v>
      </c>
      <c r="AP159" s="347">
        <f>ROUND((AP70-AP248)*AQ154,0)</f>
        <v>0</v>
      </c>
      <c r="AQ159" s="355" t="s">
        <v>44</v>
      </c>
      <c r="AR159" s="349">
        <f>AP155+AP156+AP157+AP158+AP159+AP160+AR155+AR156+AR157+AR158</f>
        <v>0</v>
      </c>
      <c r="AS159" s="353"/>
      <c r="AT159" s="126" t="s">
        <v>37</v>
      </c>
      <c r="AU159" s="347">
        <f>IF(AV154=0,0,IF(AV154&gt;=6,1,IF(AV154&lt;=-6,-1,0)))</f>
        <v>0</v>
      </c>
      <c r="AV159" s="355" t="s">
        <v>44</v>
      </c>
      <c r="AW159" s="356">
        <f>AU155+AU156+AU157+AU158+AU159+AU160+AW155+AW156+AW157+AW158</f>
        <v>0</v>
      </c>
      <c r="AX159" s="321"/>
      <c r="AY159" s="264" t="s">
        <v>37</v>
      </c>
      <c r="AZ159" s="375">
        <f t="shared" si="96"/>
        <v>0</v>
      </c>
      <c r="BA159" s="323" t="s">
        <v>44</v>
      </c>
      <c r="BB159" s="420">
        <f>IF($AG$2&gt;0,"限度超過",AZ155+AZ156+AZ157+AZ158+AZ159+AZ160+BB155+BB156+BB157+BB158)</f>
        <v>0</v>
      </c>
      <c r="BC159" s="321"/>
      <c r="BD159" s="451" t="s">
        <v>37</v>
      </c>
      <c r="BE159" s="81">
        <f t="shared" si="97"/>
        <v>0</v>
      </c>
      <c r="BF159" s="443" t="s">
        <v>44</v>
      </c>
      <c r="BG159" s="29">
        <f>IF($A$176=$L$176,"限度超過",BE155+BE156+BE157+BE158+BE159+BE160+BG155+BG156+BG157+BG158)</f>
        <v>0</v>
      </c>
      <c r="BH159" s="12"/>
      <c r="BI159" s="30" t="s">
        <v>37</v>
      </c>
      <c r="BJ159" s="29">
        <f t="shared" si="98"/>
        <v>0</v>
      </c>
      <c r="BK159" s="98" t="s">
        <v>44</v>
      </c>
      <c r="BL159" s="29">
        <f>IF($A$176=$L$176,"限度超過",BJ155+BJ156+BJ157+BJ158+BJ159+BJ160+BL155+BL156+BL157+BL158)</f>
        <v>0</v>
      </c>
      <c r="BM159" s="12"/>
      <c r="BN159" s="30" t="s">
        <v>37</v>
      </c>
      <c r="BO159" s="29">
        <f t="shared" si="99"/>
        <v>0</v>
      </c>
      <c r="BP159" s="98" t="s">
        <v>44</v>
      </c>
      <c r="BQ159" s="29">
        <f>IF($A$176=$L$176,"限度超過",BO155+BO156+BO157+BO158+BO159+BO160+BQ155+BQ156+BQ157+BQ158)</f>
        <v>0</v>
      </c>
      <c r="BR159" s="449"/>
      <c r="BS159" s="12"/>
      <c r="BT159" s="12"/>
      <c r="BU159" s="12"/>
      <c r="BV159" s="12"/>
      <c r="BW159" s="12"/>
      <c r="BX159" s="32" t="s">
        <v>26</v>
      </c>
      <c r="BY159" s="26">
        <f>H159</f>
        <v>0</v>
      </c>
      <c r="BZ159" s="99">
        <f t="shared" si="100"/>
        <v>0</v>
      </c>
      <c r="CA159" s="99">
        <f t="shared" si="100"/>
        <v>0</v>
      </c>
      <c r="CB159" s="99">
        <f t="shared" si="100"/>
        <v>0</v>
      </c>
      <c r="CC159" s="713">
        <f>CB159</f>
        <v>0</v>
      </c>
      <c r="CD159" s="4"/>
      <c r="CE159" s="4"/>
      <c r="CF159" s="4"/>
      <c r="CG159" s="4"/>
      <c r="CH159" s="4"/>
      <c r="CI159" s="13"/>
    </row>
    <row r="160" spans="1:87" ht="18" customHeight="1">
      <c r="A160" s="1421"/>
      <c r="B160" s="12"/>
      <c r="C160" s="12"/>
      <c r="D160" s="1419"/>
      <c r="E160" s="1416"/>
      <c r="F160" s="12"/>
      <c r="G160" s="855"/>
      <c r="H160" s="1413"/>
      <c r="I160" s="1277"/>
      <c r="J160" s="855"/>
      <c r="K160" s="180">
        <f>IF(H159&gt;0,K157,0)</f>
        <v>0</v>
      </c>
      <c r="L160" s="12" t="s">
        <v>5</v>
      </c>
      <c r="M160" s="1407"/>
      <c r="N160" s="1402"/>
      <c r="O160" s="1405"/>
      <c r="P160" s="1405"/>
      <c r="Q160" s="1377"/>
      <c r="R160" s="1403"/>
      <c r="S160" s="1381"/>
      <c r="T160" s="1411"/>
      <c r="U160" s="1459"/>
      <c r="V160" s="1471"/>
      <c r="W160" s="30" t="s">
        <v>38</v>
      </c>
      <c r="X160" s="29">
        <f t="shared" si="95"/>
        <v>0</v>
      </c>
      <c r="Y160" s="1368"/>
      <c r="Z160" s="1395"/>
      <c r="AB160" s="4"/>
      <c r="AC160" s="492"/>
      <c r="AD160" s="4"/>
      <c r="AE160" s="74"/>
      <c r="AF160" s="1363"/>
      <c r="AG160" s="4"/>
      <c r="AH160" s="4"/>
      <c r="AI160" s="174"/>
      <c r="AJ160" s="174"/>
      <c r="AK160" s="174"/>
      <c r="AL160" s="174"/>
      <c r="AM160" s="174"/>
      <c r="AN160" s="174"/>
      <c r="AO160" s="126" t="s">
        <v>38</v>
      </c>
      <c r="AP160" s="347">
        <f>ROUND((AP71-AP249)*AQ154,0)</f>
        <v>0</v>
      </c>
      <c r="AQ160" s="354" t="s">
        <v>75</v>
      </c>
      <c r="AR160" s="333">
        <f>IF($AG$2&gt;0,"限度超過",U159)</f>
        <v>0</v>
      </c>
      <c r="AS160" s="350"/>
      <c r="AT160" s="126" t="s">
        <v>38</v>
      </c>
      <c r="AU160" s="347">
        <f>IF(AV154=0,0,IF(AV154&gt;=5,1,IF(AV154&lt;=-5,-1,0)))</f>
        <v>0</v>
      </c>
      <c r="AV160" s="354"/>
      <c r="AW160" s="357" t="str">
        <f>IF(AU155+AU156+AU157+AU158+AU159+AU160+AW155+AW156+AW157+AW158=AV154,"計算ＯＫ","エラー発生")</f>
        <v>計算ＯＫ</v>
      </c>
      <c r="AX160" s="321"/>
      <c r="AY160" s="264" t="s">
        <v>38</v>
      </c>
      <c r="AZ160" s="375">
        <f t="shared" si="96"/>
        <v>0</v>
      </c>
      <c r="BA160" s="322"/>
      <c r="BB160" s="421">
        <f>IF($AG$2&gt;0,"限度超過",IF($A$176=$L$176,"限度超過",$U$109))</f>
        <v>4100</v>
      </c>
      <c r="BC160" s="321"/>
      <c r="BD160" s="451" t="s">
        <v>38</v>
      </c>
      <c r="BE160" s="81">
        <f t="shared" si="97"/>
        <v>0</v>
      </c>
      <c r="BF160" s="82"/>
      <c r="BG160" s="100"/>
      <c r="BH160" s="12"/>
      <c r="BI160" s="30" t="s">
        <v>38</v>
      </c>
      <c r="BJ160" s="29">
        <f t="shared" si="98"/>
        <v>0</v>
      </c>
      <c r="BK160" s="30"/>
      <c r="BL160" s="100"/>
      <c r="BM160" s="12"/>
      <c r="BN160" s="30" t="s">
        <v>38</v>
      </c>
      <c r="BO160" s="29">
        <f t="shared" si="99"/>
        <v>0</v>
      </c>
      <c r="BP160" s="30"/>
      <c r="BQ160" s="100"/>
      <c r="BR160" s="449"/>
      <c r="BS160" s="12"/>
      <c r="BT160" s="12"/>
      <c r="BU160" s="12"/>
      <c r="BV160" s="12"/>
      <c r="BW160" s="12"/>
      <c r="BX160" s="67" t="s">
        <v>27</v>
      </c>
      <c r="BY160" s="45">
        <f>IF(BY159&gt;0,ROUNDDOWN(BY156*BY159*BY157/BY158,0),0)</f>
        <v>0</v>
      </c>
      <c r="BZ160" s="45">
        <f>IF(BZ159&gt;0,ROUNDDOWN(BZ156*BZ159*BZ157/BZ158,0),0)</f>
        <v>0</v>
      </c>
      <c r="CA160" s="45">
        <f>IF(CA159&gt;0,ROUNDDOWN(CA156*CA159*CA157/CA158,0),0)</f>
        <v>0</v>
      </c>
      <c r="CB160" s="45">
        <f>IF(CB159&gt;0,ROUNDDOWN(CB156*CB159*CB157/CB158,0),0)</f>
        <v>0</v>
      </c>
      <c r="CC160" s="713">
        <v>0</v>
      </c>
      <c r="CD160" s="4"/>
      <c r="CE160" s="4"/>
      <c r="CF160" s="4"/>
      <c r="CG160" s="4"/>
      <c r="CH160" s="4"/>
      <c r="CI160" s="13"/>
    </row>
    <row r="161" spans="1:87" ht="18" customHeight="1">
      <c r="A161" s="202"/>
      <c r="B161" s="75" t="s">
        <v>118</v>
      </c>
      <c r="C161" s="12"/>
      <c r="D161" s="160"/>
      <c r="E161" s="161"/>
      <c r="F161" s="12"/>
      <c r="G161" s="50"/>
      <c r="H161" s="162"/>
      <c r="I161" s="159"/>
      <c r="J161" s="50"/>
      <c r="K161" s="180"/>
      <c r="L161" s="12"/>
      <c r="M161" s="86"/>
      <c r="N161" s="86"/>
      <c r="O161" s="181"/>
      <c r="P161" s="181"/>
      <c r="Q161" s="156"/>
      <c r="R161" s="157"/>
      <c r="S161" s="49"/>
      <c r="T161" s="50"/>
      <c r="U161" s="182"/>
      <c r="V161" s="50"/>
      <c r="W161" s="4"/>
      <c r="X161" s="26"/>
      <c r="Y161" s="170"/>
      <c r="Z161" s="187"/>
      <c r="AA161" s="5"/>
      <c r="AB161" s="159"/>
      <c r="AC161" s="226"/>
      <c r="AD161" s="159"/>
      <c r="AE161" s="159"/>
      <c r="AF161" s="236"/>
      <c r="AG161" s="159"/>
      <c r="AH161" s="227"/>
      <c r="AI161" s="201"/>
      <c r="AJ161" s="201"/>
      <c r="AK161" s="201"/>
      <c r="AL161" s="201"/>
      <c r="AM161" s="201"/>
      <c r="AN161" s="174"/>
      <c r="AO161" s="351"/>
      <c r="AP161" s="351"/>
      <c r="AQ161" s="352"/>
      <c r="AR161" s="352"/>
      <c r="AS161" s="350"/>
      <c r="AT161" s="350"/>
      <c r="AU161" s="350"/>
      <c r="AV161" s="350"/>
      <c r="AW161" s="350"/>
      <c r="AX161" s="321"/>
      <c r="AY161" s="422"/>
      <c r="AZ161" s="351"/>
      <c r="BA161" s="352"/>
      <c r="BB161" s="467" t="str">
        <f>IF(BB159=BB160,"OK","エラー")</f>
        <v>エラー</v>
      </c>
      <c r="BC161" s="321"/>
      <c r="BD161" s="452"/>
      <c r="BF161" s="4" t="s">
        <v>260</v>
      </c>
      <c r="BH161" s="12"/>
      <c r="BM161" s="12"/>
      <c r="BR161" s="449"/>
      <c r="BS161" s="12"/>
      <c r="BT161" s="12"/>
      <c r="BU161" s="12"/>
      <c r="BV161" s="12"/>
      <c r="BW161" s="12"/>
      <c r="BX161" s="32" t="s">
        <v>468</v>
      </c>
      <c r="BY161" s="713">
        <f>IF(入力画面!E37=1,1,0)</f>
        <v>1</v>
      </c>
      <c r="BZ161" s="713" t="e">
        <f>IF($BY$161=1,ROUNDDOWN($CF$101*BZ157/BZ158,0),0)</f>
        <v>#DIV/0!</v>
      </c>
      <c r="CA161" s="713" t="e">
        <f>IF($BY$161=1,ROUNDDOWN($CG$101*CA157/CA158,0),0)</f>
        <v>#DIV/0!</v>
      </c>
      <c r="CB161" s="713" t="e">
        <f>IF($BY$161=1,ROUNDDOWN($CH$101*CB157/CB158,0),0)</f>
        <v>#DIV/0!</v>
      </c>
      <c r="CC161" s="713" t="e">
        <f>IF($BY$161=1,ROUNDDOWN($CE$101*CC157/CC158,0),0)</f>
        <v>#DIV/0!</v>
      </c>
      <c r="CD161" s="4"/>
      <c r="CE161" s="4"/>
      <c r="CF161" s="4"/>
      <c r="CG161" s="4"/>
      <c r="CH161" s="4"/>
      <c r="CI161" s="13"/>
    </row>
    <row r="162" spans="1:87" ht="18" customHeight="1">
      <c r="A162" s="58" t="s">
        <v>1</v>
      </c>
      <c r="B162" s="52"/>
      <c r="C162" s="189">
        <f>IF(H159&gt;0,$X$102,0)</f>
        <v>0</v>
      </c>
      <c r="D162" s="203" t="s">
        <v>6</v>
      </c>
      <c r="E162" s="60" t="s">
        <v>131</v>
      </c>
      <c r="F162" s="1204">
        <f>K156</f>
        <v>0</v>
      </c>
      <c r="G162" s="1204"/>
      <c r="H162" s="216" t="s">
        <v>5</v>
      </c>
      <c r="I162" s="1451" t="s">
        <v>14</v>
      </c>
      <c r="J162" s="1451"/>
      <c r="K162" s="1204">
        <f>C162*F162</f>
        <v>0</v>
      </c>
      <c r="L162" s="1204"/>
      <c r="M162" s="204" t="s">
        <v>6</v>
      </c>
      <c r="N162" s="204"/>
      <c r="O162" s="205"/>
      <c r="P162" s="205"/>
      <c r="Q162" s="63"/>
      <c r="R162" s="206"/>
      <c r="S162" s="59"/>
      <c r="T162" s="27"/>
      <c r="U162" s="207"/>
      <c r="V162" s="27"/>
      <c r="W162" s="188"/>
      <c r="X162" s="189"/>
      <c r="Y162" s="208"/>
      <c r="Z162" s="163"/>
      <c r="AB162" s="4"/>
      <c r="AC162" s="492"/>
      <c r="AD162" s="4"/>
      <c r="AE162" s="74"/>
      <c r="AF162" s="237"/>
      <c r="AG162" s="4"/>
      <c r="AH162" s="4"/>
      <c r="AI162" s="174"/>
      <c r="AJ162" s="174"/>
      <c r="AK162" s="174"/>
      <c r="AL162" s="174"/>
      <c r="AM162" s="174"/>
      <c r="AN162" s="174"/>
      <c r="AO162" s="1298" t="s">
        <v>235</v>
      </c>
      <c r="AP162" s="1298"/>
      <c r="AQ162" s="1298"/>
      <c r="AR162" s="1298"/>
      <c r="AS162" s="350"/>
      <c r="AT162" s="1295" t="s">
        <v>233</v>
      </c>
      <c r="AU162" s="1295"/>
      <c r="AV162" s="350"/>
      <c r="AW162" s="350"/>
      <c r="AX162" s="350"/>
      <c r="AY162" s="1294" t="s">
        <v>233</v>
      </c>
      <c r="AZ162" s="1295"/>
      <c r="BA162" s="350"/>
      <c r="BB162" s="425"/>
      <c r="BC162" s="350"/>
      <c r="BD162" s="1302" t="s">
        <v>233</v>
      </c>
      <c r="BE162" s="1303"/>
      <c r="BF162" s="4" t="s">
        <v>261</v>
      </c>
      <c r="BH162" s="12"/>
      <c r="BI162" s="1303" t="s">
        <v>233</v>
      </c>
      <c r="BJ162" s="1303"/>
      <c r="BM162" s="12"/>
      <c r="BN162" s="1303" t="s">
        <v>233</v>
      </c>
      <c r="BO162" s="1303"/>
      <c r="BR162" s="449"/>
      <c r="BS162" s="12"/>
      <c r="BT162" s="12"/>
      <c r="BU162" s="12"/>
      <c r="BV162" s="12"/>
      <c r="BW162" s="12"/>
      <c r="BX162" s="4"/>
      <c r="BY162" s="26"/>
      <c r="BZ162" s="26"/>
      <c r="CA162" s="26"/>
      <c r="CB162" s="26"/>
      <c r="CC162" s="4"/>
      <c r="CD162" s="4"/>
      <c r="CE162" s="4"/>
      <c r="CF162" s="4"/>
      <c r="CG162" s="4"/>
      <c r="CH162" s="4"/>
      <c r="CI162" s="13"/>
    </row>
    <row r="163" spans="1:87" ht="18" customHeight="1">
      <c r="D163" s="101"/>
      <c r="E163" s="70"/>
      <c r="G163" s="9"/>
      <c r="H163" s="102"/>
      <c r="I163" s="5"/>
      <c r="J163" s="9"/>
      <c r="K163" s="18"/>
      <c r="M163" s="103"/>
      <c r="P163" s="103"/>
      <c r="Q163" s="70"/>
      <c r="R163" s="104"/>
      <c r="S163" s="68"/>
      <c r="T163" s="68"/>
      <c r="U163" s="68"/>
      <c r="V163" s="18"/>
      <c r="AA163" s="16"/>
      <c r="AB163" s="16"/>
      <c r="AC163" s="493"/>
      <c r="AD163" s="16"/>
      <c r="AE163" s="227"/>
      <c r="AF163" s="233"/>
      <c r="AG163" s="16"/>
      <c r="AH163" s="16"/>
      <c r="AI163" s="172"/>
      <c r="AJ163" s="172"/>
      <c r="AK163" s="172"/>
      <c r="AL163" s="172"/>
      <c r="AM163" s="172"/>
      <c r="AN163" s="174"/>
      <c r="AO163" s="370" t="s">
        <v>219</v>
      </c>
      <c r="AP163" s="1283" t="s">
        <v>234</v>
      </c>
      <c r="AQ163" s="1283"/>
      <c r="AR163" s="1283"/>
      <c r="AS163" s="372"/>
      <c r="AT163" s="1321" t="s">
        <v>220</v>
      </c>
      <c r="AU163" s="1321"/>
      <c r="AV163" s="1321"/>
      <c r="AW163" s="1321"/>
      <c r="AX163" s="321"/>
      <c r="AY163" s="419" t="s">
        <v>226</v>
      </c>
      <c r="AZ163" s="1290" t="s">
        <v>225</v>
      </c>
      <c r="BA163" s="1290"/>
      <c r="BB163" s="1291"/>
      <c r="BC163" s="321"/>
      <c r="BD163" s="1267" t="s">
        <v>264</v>
      </c>
      <c r="BE163" s="1268"/>
      <c r="BF163" s="1268"/>
      <c r="BG163" s="1268"/>
      <c r="BH163" s="12"/>
      <c r="BI163" s="440" t="s">
        <v>265</v>
      </c>
      <c r="BJ163" s="1269" t="s">
        <v>263</v>
      </c>
      <c r="BK163" s="1269"/>
      <c r="BL163" s="1269"/>
      <c r="BM163" s="12"/>
      <c r="BN163" s="12"/>
      <c r="BO163" s="143" t="s">
        <v>266</v>
      </c>
      <c r="BP163" s="12" t="s">
        <v>88</v>
      </c>
      <c r="BQ163" s="12"/>
      <c r="BR163" s="449"/>
      <c r="BS163" s="12"/>
      <c r="BT163" s="12"/>
      <c r="BU163" s="12"/>
      <c r="BV163" s="12"/>
      <c r="BW163" s="12"/>
      <c r="BX163" s="4"/>
      <c r="BY163" s="4"/>
      <c r="BZ163" s="4"/>
      <c r="CA163" s="4"/>
      <c r="CB163" s="4"/>
      <c r="CC163" s="4"/>
      <c r="CD163" s="4"/>
      <c r="CE163" s="4"/>
      <c r="CF163" s="4"/>
      <c r="CG163" s="4"/>
      <c r="CH163" s="4"/>
      <c r="CI163" s="13"/>
    </row>
    <row r="164" spans="1:87" ht="18" customHeight="1">
      <c r="A164" s="196" t="s">
        <v>49</v>
      </c>
      <c r="B164" s="1382">
        <f>B75</f>
        <v>0</v>
      </c>
      <c r="C164" s="1382"/>
      <c r="D164" s="1382"/>
      <c r="E164" s="198" t="s">
        <v>11</v>
      </c>
      <c r="F164" s="1412" t="s">
        <v>57</v>
      </c>
      <c r="G164" s="1412"/>
      <c r="H164" s="1469"/>
      <c r="I164" s="1449">
        <f>IF(I75=1,1,0)</f>
        <v>0</v>
      </c>
      <c r="J164" s="1450"/>
      <c r="K164" s="1373">
        <f>IF(H169=0,0,IF(K157=0, "加入月が未入力です!！",IF($L$176=$A$176,"限度超過額に達しているため計算不可能!!",IF(U166-U165=U167,"エラー名前を入力されているが加入月未入力!！",IF(H169&gt;K166,"加入月未入力エラー!！",0)))))</f>
        <v>0</v>
      </c>
      <c r="L164" s="1374"/>
      <c r="M164" s="1374"/>
      <c r="N164" s="1374"/>
      <c r="O164" s="1374"/>
      <c r="P164" s="1374"/>
      <c r="Q164" s="1374"/>
      <c r="R164" s="1374"/>
      <c r="S164" s="1375"/>
      <c r="T164" s="197" t="s">
        <v>47</v>
      </c>
      <c r="U164" s="1383">
        <f>IF(U169&gt;0,"支援分",0)</f>
        <v>0</v>
      </c>
      <c r="V164" s="1384"/>
      <c r="W164" s="1385" t="s">
        <v>46</v>
      </c>
      <c r="X164" s="1164"/>
      <c r="Y164" s="1164"/>
      <c r="Z164" s="1165"/>
      <c r="AA164" s="26"/>
      <c r="AB164" s="26"/>
      <c r="AC164" s="494"/>
      <c r="AD164" s="26"/>
      <c r="AE164" s="489"/>
      <c r="AF164" s="238" t="s">
        <v>117</v>
      </c>
      <c r="AG164" s="26"/>
      <c r="AH164" s="276">
        <f>IF(K166=0,0,IF(K166&lt;12,1,0))</f>
        <v>0</v>
      </c>
      <c r="AI164" s="173"/>
      <c r="AJ164" s="173"/>
      <c r="AK164" s="173"/>
      <c r="AL164" s="173"/>
      <c r="AM164" s="173"/>
      <c r="AN164" s="369" t="s">
        <v>150</v>
      </c>
      <c r="AO164" s="1205" t="s">
        <v>222</v>
      </c>
      <c r="AP164" s="1280"/>
      <c r="AQ164" s="1326">
        <f>IF(AR80=0,0,ROUNDDOWN(AR170/(AW81+AR170),8))</f>
        <v>0</v>
      </c>
      <c r="AR164" s="1327"/>
      <c r="AS164" s="373"/>
      <c r="AT164" s="1205" t="s">
        <v>215</v>
      </c>
      <c r="AU164" s="1280"/>
      <c r="AV164" s="1296">
        <f>IF($AG$2&gt;0,0,AR170-AR169)</f>
        <v>0</v>
      </c>
      <c r="AW164" s="1297"/>
      <c r="AX164" s="321"/>
      <c r="AY164" s="1279" t="s">
        <v>46</v>
      </c>
      <c r="AZ164" s="1280"/>
      <c r="BA164" s="1292">
        <f>IF(R166+R169=0,0,IF(K167&gt;K166,"期割がアンマッチ使用禁止↓",0))</f>
        <v>0</v>
      </c>
      <c r="BB164" s="1293"/>
      <c r="BC164" s="321"/>
      <c r="BD164" s="1272" t="s">
        <v>46</v>
      </c>
      <c r="BE164" s="1273"/>
      <c r="BF164" s="1304" t="s">
        <v>87</v>
      </c>
      <c r="BG164" s="1305"/>
      <c r="BH164" s="12"/>
      <c r="BI164" s="1139" t="s">
        <v>89</v>
      </c>
      <c r="BJ164" s="1273"/>
      <c r="BK164" s="441"/>
      <c r="BL164" s="442"/>
      <c r="BM164" s="12"/>
      <c r="BN164" s="1139" t="s">
        <v>46</v>
      </c>
      <c r="BO164" s="1273"/>
      <c r="BP164" s="1270"/>
      <c r="BQ164" s="1271"/>
      <c r="BR164" s="449"/>
      <c r="BS164" s="12"/>
      <c r="BT164" s="12"/>
      <c r="BU164" s="106" t="s">
        <v>56</v>
      </c>
      <c r="BV164" s="32" t="s">
        <v>8</v>
      </c>
      <c r="BW164" s="12"/>
      <c r="BX164" s="4"/>
      <c r="BY164" s="4"/>
      <c r="BZ164" s="4"/>
      <c r="CA164" s="4"/>
      <c r="CB164" s="4"/>
      <c r="CC164" s="4"/>
      <c r="CD164" s="4"/>
      <c r="CE164" s="4"/>
      <c r="CF164" s="4"/>
      <c r="CG164" s="4"/>
      <c r="CH164" s="4"/>
      <c r="CI164" s="13"/>
    </row>
    <row r="165" spans="1:87" ht="18" customHeight="1">
      <c r="A165" s="165"/>
      <c r="B165" s="12"/>
      <c r="C165" s="75" t="s">
        <v>33</v>
      </c>
      <c r="D165" s="12"/>
      <c r="E165" s="12"/>
      <c r="F165" s="12"/>
      <c r="G165" s="12"/>
      <c r="H165" s="50"/>
      <c r="I165" s="93"/>
      <c r="J165" s="12"/>
      <c r="K165" s="76" t="s">
        <v>9</v>
      </c>
      <c r="L165" s="12"/>
      <c r="M165" s="1414"/>
      <c r="N165" s="1414"/>
      <c r="O165" s="1414"/>
      <c r="P165" s="1414"/>
      <c r="Q165" s="1414"/>
      <c r="R165" s="1414"/>
      <c r="S165" s="1415"/>
      <c r="T165" s="72" t="s">
        <v>30</v>
      </c>
      <c r="U165" s="105">
        <f>R166+R169</f>
        <v>0</v>
      </c>
      <c r="V165" s="88" t="s">
        <v>6</v>
      </c>
      <c r="W165" s="80" t="s">
        <v>34</v>
      </c>
      <c r="X165" s="29">
        <f t="shared" ref="X165:X170" si="101">IF($AH$13&gt;0,0,AZ165)</f>
        <v>0</v>
      </c>
      <c r="Y165" s="80" t="s">
        <v>39</v>
      </c>
      <c r="Z165" s="31">
        <f>IF($AH$13&gt;0,0,BB165)</f>
        <v>0</v>
      </c>
      <c r="AA165" s="26"/>
      <c r="AB165" s="26"/>
      <c r="AC165" s="494"/>
      <c r="AD165" s="26"/>
      <c r="AE165" s="489"/>
      <c r="AF165" s="219">
        <f>AF166+AF169+AF172</f>
        <v>0</v>
      </c>
      <c r="AG165" s="26"/>
      <c r="AH165" s="26"/>
      <c r="AI165" s="173"/>
      <c r="AJ165" s="173"/>
      <c r="AK165" s="173"/>
      <c r="AL165" s="173"/>
      <c r="AM165" s="173"/>
      <c r="AN165" s="174"/>
      <c r="AO165" s="126" t="s">
        <v>34</v>
      </c>
      <c r="AP165" s="347">
        <f>ROUND((AP76-AP254)*AQ164,0)</f>
        <v>0</v>
      </c>
      <c r="AQ165" s="354" t="s">
        <v>39</v>
      </c>
      <c r="AR165" s="348">
        <f>ROUND((AR76-AR254)*AQ164,0)</f>
        <v>0</v>
      </c>
      <c r="AS165" s="374"/>
      <c r="AT165" s="126" t="s">
        <v>34</v>
      </c>
      <c r="AU165" s="347">
        <f>IF(AV164=0,0,IF(AV164&gt;=10,1,IF(AV164&lt;=-10,-1,0)))</f>
        <v>0</v>
      </c>
      <c r="AV165" s="354" t="s">
        <v>39</v>
      </c>
      <c r="AW165" s="348">
        <f>IF(AV164=0,0,IF(AV164&gt;=4,1,IF(AV164&lt;=-4,-1,0)))</f>
        <v>0</v>
      </c>
      <c r="AX165" s="321"/>
      <c r="AY165" s="260" t="s">
        <v>34</v>
      </c>
      <c r="AZ165" s="375">
        <f t="shared" ref="AZ165:AZ170" si="102">IF($AG$2&gt;0,"限度超過",IF($A$176=$L$176,"限度超過",AP165+AU165))</f>
        <v>0</v>
      </c>
      <c r="BA165" s="322" t="s">
        <v>39</v>
      </c>
      <c r="BB165" s="127">
        <f>IF($AG$2&gt;0,"限度超過",IF($A$176=$L$176,"限度超過",AR165+AW165))</f>
        <v>0</v>
      </c>
      <c r="BC165" s="321"/>
      <c r="BD165" s="451" t="s">
        <v>34</v>
      </c>
      <c r="BE165" s="81">
        <f t="shared" ref="BE165:BE170" si="103">BE155</f>
        <v>0</v>
      </c>
      <c r="BF165" s="82" t="s">
        <v>39</v>
      </c>
      <c r="BG165" s="29">
        <f>BG155</f>
        <v>0</v>
      </c>
      <c r="BH165" s="12"/>
      <c r="BI165" s="80" t="s">
        <v>34</v>
      </c>
      <c r="BJ165" s="29">
        <f t="shared" ref="BJ165:BJ170" si="104">IF($A$176=$L$176,"限度超過",IF(BE165=0,0,BE165/$S$94))</f>
        <v>0</v>
      </c>
      <c r="BK165" s="80" t="s">
        <v>39</v>
      </c>
      <c r="BL165" s="29">
        <f>IF($A$176=$L$176,"限度超過",IF(BG165=0,0,BG165/$S$94))</f>
        <v>0</v>
      </c>
      <c r="BM165" s="12"/>
      <c r="BN165" s="30" t="s">
        <v>34</v>
      </c>
      <c r="BO165" s="29">
        <f t="shared" ref="BO165:BO170" si="105">IF($A$176=$L$176,"限度超過",IF($S$94&lt;=6,0,BJ165))</f>
        <v>0</v>
      </c>
      <c r="BP165" s="80" t="s">
        <v>39</v>
      </c>
      <c r="BQ165" s="29">
        <f>IF($A$176=$L$176,"限度超過",IF($S$94&lt;=6,0,BL165))</f>
        <v>0</v>
      </c>
      <c r="BR165" s="449"/>
      <c r="BS165" s="12"/>
      <c r="BT165" s="12"/>
      <c r="BU165" s="32" t="s">
        <v>132</v>
      </c>
      <c r="BV165" s="45">
        <f>K106</f>
        <v>12</v>
      </c>
      <c r="BW165" s="12"/>
      <c r="BX165" s="32"/>
      <c r="BY165" s="33" t="str">
        <f>BY155</f>
        <v>料率</v>
      </c>
      <c r="BZ165" s="33">
        <f>BZ155</f>
        <v>7</v>
      </c>
      <c r="CA165" s="33">
        <f>CA155</f>
        <v>5</v>
      </c>
      <c r="CB165" s="33">
        <f>CB155</f>
        <v>2</v>
      </c>
      <c r="CC165" s="713" t="s">
        <v>467</v>
      </c>
      <c r="CD165" s="4"/>
      <c r="CE165" s="4"/>
      <c r="CF165" s="4"/>
      <c r="CG165" s="4"/>
      <c r="CH165" s="4"/>
      <c r="CI165" s="13"/>
    </row>
    <row r="166" spans="1:87" ht="18" customHeight="1">
      <c r="A166" s="1421" t="s">
        <v>0</v>
      </c>
      <c r="B166" s="1448" t="s">
        <v>129</v>
      </c>
      <c r="C166" s="1376">
        <f>C77</f>
        <v>0</v>
      </c>
      <c r="D166" s="855" t="s">
        <v>58</v>
      </c>
      <c r="E166" s="1416">
        <f>IF(H169&gt;0,$CE$100, 0)</f>
        <v>0</v>
      </c>
      <c r="F166" s="1380" t="s">
        <v>22</v>
      </c>
      <c r="G166" s="855" t="s">
        <v>59</v>
      </c>
      <c r="H166" s="85">
        <f>IF(H169&gt;0,$CE$96,0)</f>
        <v>0</v>
      </c>
      <c r="I166" s="1277" t="s">
        <v>22</v>
      </c>
      <c r="J166" s="855" t="s">
        <v>59</v>
      </c>
      <c r="K166" s="51">
        <f>K77</f>
        <v>0</v>
      </c>
      <c r="L166" s="52" t="s">
        <v>5</v>
      </c>
      <c r="M166" s="1380"/>
      <c r="N166" s="1407"/>
      <c r="O166" s="86"/>
      <c r="P166" s="1377" t="s">
        <v>130</v>
      </c>
      <c r="Q166" s="1377"/>
      <c r="R166" s="1403">
        <f>ROUNDDOWN(IF(((C166-E166)*H166/H167)*K166/K167&lt;0,0,((C166-E166)*H166/H167)*K166/K167),0)</f>
        <v>0</v>
      </c>
      <c r="S166" s="1381" t="s">
        <v>6</v>
      </c>
      <c r="T166" s="72" t="s">
        <v>1</v>
      </c>
      <c r="U166" s="105">
        <f>IF(H169=0,0,K172)</f>
        <v>0</v>
      </c>
      <c r="V166" s="88" t="s">
        <v>6</v>
      </c>
      <c r="W166" s="30" t="s">
        <v>35</v>
      </c>
      <c r="X166" s="29">
        <f t="shared" si="101"/>
        <v>0</v>
      </c>
      <c r="Y166" s="30" t="s">
        <v>40</v>
      </c>
      <c r="Z166" s="31">
        <f>IF($AH$13&gt;0,0,BB166)</f>
        <v>0</v>
      </c>
      <c r="AA166" s="26"/>
      <c r="AB166" s="26"/>
      <c r="AC166" s="494"/>
      <c r="AD166" s="26"/>
      <c r="AE166" s="489"/>
      <c r="AF166" s="1386">
        <f>ROUNDDOWN(IF(((C166-E166)*H166/H167)&lt;0,0,((C166-E166)*H166/H167)),0)</f>
        <v>0</v>
      </c>
      <c r="AG166" s="26"/>
      <c r="AH166" s="26"/>
      <c r="AI166" s="173"/>
      <c r="AJ166" s="173"/>
      <c r="AK166" s="173"/>
      <c r="AL166" s="173"/>
      <c r="AM166" s="173"/>
      <c r="AN166" s="174"/>
      <c r="AO166" s="126" t="s">
        <v>35</v>
      </c>
      <c r="AP166" s="347">
        <f>ROUND((AP77-AP255)*AQ164,0)</f>
        <v>0</v>
      </c>
      <c r="AQ166" s="354" t="s">
        <v>40</v>
      </c>
      <c r="AR166" s="348">
        <f>ROUND((AR77-AR255)*AQ164,0)</f>
        <v>0</v>
      </c>
      <c r="AS166" s="374"/>
      <c r="AT166" s="126" t="s">
        <v>35</v>
      </c>
      <c r="AU166" s="347">
        <f>IF(AV164=0,0,IF(AV164&gt;=9,1,IF(AV164&lt;=-9,-1,0)))</f>
        <v>0</v>
      </c>
      <c r="AV166" s="354" t="s">
        <v>40</v>
      </c>
      <c r="AW166" s="348">
        <f>IF(AV164=0,0,IF(AV164&gt;=3,1,IF(AV164&lt;=-3,-1,0)))</f>
        <v>0</v>
      </c>
      <c r="AX166" s="321"/>
      <c r="AY166" s="264" t="s">
        <v>35</v>
      </c>
      <c r="AZ166" s="375">
        <f t="shared" si="102"/>
        <v>0</v>
      </c>
      <c r="BA166" s="322" t="s">
        <v>40</v>
      </c>
      <c r="BB166" s="127">
        <f>IF($AG$2&gt;0,"限度超過",IF($A$176=$L$176,"限度超過",AR166+AW166))</f>
        <v>0</v>
      </c>
      <c r="BC166" s="321"/>
      <c r="BD166" s="451" t="s">
        <v>35</v>
      </c>
      <c r="BE166" s="81">
        <f t="shared" si="103"/>
        <v>0</v>
      </c>
      <c r="BF166" s="82" t="s">
        <v>40</v>
      </c>
      <c r="BG166" s="29">
        <f>BG156</f>
        <v>0</v>
      </c>
      <c r="BH166" s="12"/>
      <c r="BI166" s="30" t="s">
        <v>35</v>
      </c>
      <c r="BJ166" s="29">
        <f t="shared" si="104"/>
        <v>0</v>
      </c>
      <c r="BK166" s="30" t="s">
        <v>40</v>
      </c>
      <c r="BL166" s="29">
        <f>IF($A$176=$L$176,"限度超過",IF(BG166=0,0,BG166/$S$94))</f>
        <v>0</v>
      </c>
      <c r="BM166" s="12"/>
      <c r="BN166" s="30" t="s">
        <v>35</v>
      </c>
      <c r="BO166" s="29">
        <f t="shared" si="105"/>
        <v>0</v>
      </c>
      <c r="BP166" s="30" t="s">
        <v>40</v>
      </c>
      <c r="BQ166" s="29">
        <f>IF($A$176=$L$176,"限度超過",IF($S$94&lt;=6,0,BL166))</f>
        <v>0</v>
      </c>
      <c r="BR166" s="449"/>
      <c r="BS166" s="12"/>
      <c r="BT166" s="12"/>
      <c r="BU166" s="32" t="s">
        <v>133</v>
      </c>
      <c r="BV166" s="45">
        <f>K116</f>
        <v>0</v>
      </c>
      <c r="BW166" s="12"/>
      <c r="BX166" s="32" t="s">
        <v>17</v>
      </c>
      <c r="BY166" s="44">
        <v>0</v>
      </c>
      <c r="BZ166" s="45">
        <f>$CF$97</f>
        <v>6420</v>
      </c>
      <c r="CA166" s="45">
        <f>$CG$97</f>
        <v>4590</v>
      </c>
      <c r="CB166" s="45">
        <f>$CH$97</f>
        <v>1840</v>
      </c>
      <c r="CC166" s="713"/>
      <c r="CD166" s="4"/>
      <c r="CE166" s="4"/>
      <c r="CF166" s="4"/>
      <c r="CG166" s="4"/>
      <c r="CH166" s="4"/>
      <c r="CI166" s="13"/>
    </row>
    <row r="167" spans="1:87" ht="18" customHeight="1">
      <c r="A167" s="1421"/>
      <c r="B167" s="1448"/>
      <c r="C167" s="1376"/>
      <c r="D167" s="855"/>
      <c r="E167" s="1416"/>
      <c r="F167" s="1380"/>
      <c r="G167" s="855"/>
      <c r="H167" s="39">
        <v>100</v>
      </c>
      <c r="I167" s="1277"/>
      <c r="J167" s="855"/>
      <c r="K167" s="55">
        <v>12</v>
      </c>
      <c r="L167" s="12" t="s">
        <v>5</v>
      </c>
      <c r="M167" s="1380"/>
      <c r="N167" s="1407"/>
      <c r="O167" s="86"/>
      <c r="P167" s="1377"/>
      <c r="Q167" s="1377"/>
      <c r="R167" s="1403"/>
      <c r="S167" s="1381"/>
      <c r="T167" s="72" t="s">
        <v>29</v>
      </c>
      <c r="U167" s="105">
        <f>U165+U166</f>
        <v>0</v>
      </c>
      <c r="V167" s="88" t="s">
        <v>6</v>
      </c>
      <c r="W167" s="30" t="s">
        <v>36</v>
      </c>
      <c r="X167" s="29">
        <f t="shared" si="101"/>
        <v>0</v>
      </c>
      <c r="Y167" s="30" t="s">
        <v>41</v>
      </c>
      <c r="Z167" s="31">
        <f>IF($AH$13&gt;0,0,BB167)</f>
        <v>0</v>
      </c>
      <c r="AA167" s="26"/>
      <c r="AB167" s="26"/>
      <c r="AC167" s="494"/>
      <c r="AD167" s="26"/>
      <c r="AE167" s="489"/>
      <c r="AF167" s="1363"/>
      <c r="AG167" s="26"/>
      <c r="AH167" s="26"/>
      <c r="AI167" s="173"/>
      <c r="AJ167" s="173"/>
      <c r="AK167" s="173"/>
      <c r="AL167" s="173"/>
      <c r="AM167" s="173"/>
      <c r="AN167" s="174"/>
      <c r="AO167" s="126" t="s">
        <v>36</v>
      </c>
      <c r="AP167" s="347">
        <f>ROUND((AP78-AP256)*AQ164,0)</f>
        <v>0</v>
      </c>
      <c r="AQ167" s="354" t="s">
        <v>41</v>
      </c>
      <c r="AR167" s="348">
        <f>ROUND((AR78-AR256)*AQ164,0)</f>
        <v>0</v>
      </c>
      <c r="AS167" s="353"/>
      <c r="AT167" s="126" t="s">
        <v>36</v>
      </c>
      <c r="AU167" s="347">
        <f>IF(AV164=0,0,IF(AV164&gt;=8,1,IF(AV164&lt;=-8,-1,0)))</f>
        <v>0</v>
      </c>
      <c r="AV167" s="354" t="s">
        <v>41</v>
      </c>
      <c r="AW167" s="348">
        <f>IF(AV164=0,0,IF(AV164&gt;=2,1,IF(AV164&lt;=-2,-1,0)))</f>
        <v>0</v>
      </c>
      <c r="AX167" s="321"/>
      <c r="AY167" s="264" t="s">
        <v>36</v>
      </c>
      <c r="AZ167" s="375">
        <f t="shared" si="102"/>
        <v>0</v>
      </c>
      <c r="BA167" s="322" t="s">
        <v>41</v>
      </c>
      <c r="BB167" s="127">
        <f>IF($AG$2&gt;0,"限度超過",IF($A$176=$L$176,"限度超過",AR167+AW167))</f>
        <v>0</v>
      </c>
      <c r="BC167" s="321"/>
      <c r="BD167" s="451" t="s">
        <v>36</v>
      </c>
      <c r="BE167" s="81">
        <f t="shared" si="103"/>
        <v>0</v>
      </c>
      <c r="BF167" s="82" t="s">
        <v>41</v>
      </c>
      <c r="BG167" s="29">
        <f>BG157</f>
        <v>0</v>
      </c>
      <c r="BH167" s="12"/>
      <c r="BI167" s="30" t="s">
        <v>36</v>
      </c>
      <c r="BJ167" s="29">
        <f t="shared" si="104"/>
        <v>0</v>
      </c>
      <c r="BK167" s="30" t="s">
        <v>41</v>
      </c>
      <c r="BL167" s="29">
        <f>IF($A$176=$L$176,"限度超過",IF(BG167=0,0,BG167/$S$94))</f>
        <v>0</v>
      </c>
      <c r="BM167" s="12"/>
      <c r="BN167" s="30" t="s">
        <v>36</v>
      </c>
      <c r="BO167" s="29">
        <f t="shared" si="105"/>
        <v>0</v>
      </c>
      <c r="BP167" s="30" t="s">
        <v>41</v>
      </c>
      <c r="BQ167" s="29">
        <f>IF($A$176=$L$176,"限度超過",IF($S$94&lt;=6,0,BL167))</f>
        <v>0</v>
      </c>
      <c r="BR167" s="449"/>
      <c r="BS167" s="12"/>
      <c r="BT167" s="12"/>
      <c r="BU167" s="32" t="s">
        <v>134</v>
      </c>
      <c r="BV167" s="45">
        <f>K126</f>
        <v>0</v>
      </c>
      <c r="BW167" s="12"/>
      <c r="BX167" s="32" t="s">
        <v>8</v>
      </c>
      <c r="BY167" s="45">
        <f>K169</f>
        <v>0</v>
      </c>
      <c r="BZ167" s="45">
        <f t="shared" ref="BZ167:CB169" si="106">BY167</f>
        <v>0</v>
      </c>
      <c r="CA167" s="45">
        <f t="shared" si="106"/>
        <v>0</v>
      </c>
      <c r="CB167" s="45">
        <f t="shared" si="106"/>
        <v>0</v>
      </c>
      <c r="CC167" s="713">
        <f>CB167</f>
        <v>0</v>
      </c>
      <c r="CD167" s="4"/>
      <c r="CE167" s="4"/>
      <c r="CF167" s="4"/>
      <c r="CG167" s="4"/>
      <c r="CH167" s="4"/>
      <c r="CI167" s="13"/>
    </row>
    <row r="168" spans="1:87" ht="18" customHeight="1">
      <c r="A168" s="165"/>
      <c r="B168" s="12"/>
      <c r="C168" s="50"/>
      <c r="D168" s="12"/>
      <c r="E168" s="12"/>
      <c r="F168" s="12"/>
      <c r="G168" s="12"/>
      <c r="H168" s="91"/>
      <c r="I168" s="75"/>
      <c r="J168" s="75"/>
      <c r="K168" s="92"/>
      <c r="L168" s="75"/>
      <c r="M168" s="93"/>
      <c r="N168" s="714" t="str">
        <f>IF(入力画面!E42=1,"未就学児",0)</f>
        <v>未就学児</v>
      </c>
      <c r="O168" s="42">
        <f>IF(H169=0,0,$D$94)</f>
        <v>0</v>
      </c>
      <c r="P168" s="466">
        <f>IF(O169=0,0,"軽減額")</f>
        <v>0</v>
      </c>
      <c r="Q168" s="12"/>
      <c r="R168" s="95"/>
      <c r="S168" s="49"/>
      <c r="T168" s="96" t="s">
        <v>31</v>
      </c>
      <c r="U168" s="105">
        <f>ROUNDDOWN(U167,-2)</f>
        <v>0</v>
      </c>
      <c r="V168" s="88" t="s">
        <v>6</v>
      </c>
      <c r="W168" s="30" t="s">
        <v>43</v>
      </c>
      <c r="X168" s="29">
        <f t="shared" si="101"/>
        <v>0</v>
      </c>
      <c r="Y168" s="30" t="s">
        <v>42</v>
      </c>
      <c r="Z168" s="31">
        <f>IF($AH$13&gt;0,0,BB168)</f>
        <v>0</v>
      </c>
      <c r="AA168" s="26"/>
      <c r="AB168" s="26"/>
      <c r="AC168" s="494"/>
      <c r="AD168" s="26"/>
      <c r="AE168" s="500" t="str">
        <f>IF($AH$13&gt;0,"－",IF($AG$2&gt;0,"限度超過",IF(U169=Z169,"OK","ｱﾝﾏｯﾁ")))</f>
        <v>OK</v>
      </c>
      <c r="AF168" s="499"/>
      <c r="AG168" s="26"/>
      <c r="AI168" s="173"/>
      <c r="AJ168" s="173"/>
      <c r="AK168" s="173"/>
      <c r="AL168" s="173"/>
      <c r="AM168" s="173"/>
      <c r="AN168" s="174"/>
      <c r="AO168" s="126" t="s">
        <v>43</v>
      </c>
      <c r="AP168" s="347">
        <f>ROUND((AP79-AP257)*AQ164,0)</f>
        <v>0</v>
      </c>
      <c r="AQ168" s="354" t="s">
        <v>42</v>
      </c>
      <c r="AR168" s="348">
        <f>ROUND((AR79-AR257)*AQ164,0)</f>
        <v>0</v>
      </c>
      <c r="AS168" s="353"/>
      <c r="AT168" s="126" t="s">
        <v>43</v>
      </c>
      <c r="AU168" s="347">
        <f>IF(AV164=0,0,IF(AV164&gt;=7,1,IF(AV164&lt;=-7,-1,0)))</f>
        <v>0</v>
      </c>
      <c r="AV168" s="354" t="s">
        <v>42</v>
      </c>
      <c r="AW168" s="348">
        <f>IF(AV164=0,0,IF(AV164&gt;=1,1,IF(AV164&lt;=-1,-1,0)))</f>
        <v>0</v>
      </c>
      <c r="AX168" s="321"/>
      <c r="AY168" s="264" t="s">
        <v>43</v>
      </c>
      <c r="AZ168" s="375">
        <f t="shared" si="102"/>
        <v>0</v>
      </c>
      <c r="BA168" s="322" t="s">
        <v>42</v>
      </c>
      <c r="BB168" s="127">
        <f>IF($AG$2&gt;0,"限度超過",IF($A$176=$L$176,"限度超過",AR168+AW168))</f>
        <v>0</v>
      </c>
      <c r="BC168" s="321"/>
      <c r="BD168" s="451" t="s">
        <v>43</v>
      </c>
      <c r="BE168" s="81">
        <f t="shared" si="103"/>
        <v>0</v>
      </c>
      <c r="BF168" s="82" t="s">
        <v>42</v>
      </c>
      <c r="BG168" s="29">
        <f>BG158</f>
        <v>0</v>
      </c>
      <c r="BH168" s="12"/>
      <c r="BI168" s="30" t="s">
        <v>43</v>
      </c>
      <c r="BJ168" s="29">
        <f t="shared" si="104"/>
        <v>0</v>
      </c>
      <c r="BK168" s="30" t="s">
        <v>42</v>
      </c>
      <c r="BL168" s="29">
        <f>IF($A$176=$L$176,"限度超過",IF(BG168=0,0,BG168/$S$94))</f>
        <v>0</v>
      </c>
      <c r="BM168" s="12"/>
      <c r="BN168" s="30" t="s">
        <v>43</v>
      </c>
      <c r="BO168" s="29">
        <f t="shared" si="105"/>
        <v>0</v>
      </c>
      <c r="BP168" s="30" t="s">
        <v>42</v>
      </c>
      <c r="BQ168" s="29">
        <f>IF($A$176=$L$176,"限度超過",IF($S$94&lt;=6,0,BL168))</f>
        <v>0</v>
      </c>
      <c r="BR168" s="449"/>
      <c r="BS168" s="12"/>
      <c r="BT168" s="12"/>
      <c r="BU168" s="32" t="s">
        <v>135</v>
      </c>
      <c r="BV168" s="45">
        <f>K136</f>
        <v>0</v>
      </c>
      <c r="BW168" s="12"/>
      <c r="BX168" s="32" t="s">
        <v>25</v>
      </c>
      <c r="BY168" s="45">
        <f>K170</f>
        <v>0</v>
      </c>
      <c r="BZ168" s="45">
        <f t="shared" si="106"/>
        <v>0</v>
      </c>
      <c r="CA168" s="45">
        <f t="shared" si="106"/>
        <v>0</v>
      </c>
      <c r="CB168" s="45">
        <f t="shared" si="106"/>
        <v>0</v>
      </c>
      <c r="CC168" s="713">
        <f>CB168</f>
        <v>0</v>
      </c>
      <c r="CD168" s="4"/>
      <c r="CE168" s="4"/>
      <c r="CF168" s="4"/>
      <c r="CG168" s="4"/>
      <c r="CH168" s="4"/>
      <c r="CI168" s="13"/>
    </row>
    <row r="169" spans="1:87" ht="18" customHeight="1">
      <c r="A169" s="1421" t="s">
        <v>10</v>
      </c>
      <c r="B169" s="12"/>
      <c r="C169" s="12"/>
      <c r="D169" s="1419" t="s">
        <v>7</v>
      </c>
      <c r="E169" s="1416">
        <f>IF(H169&gt;0,$CE$97,0)</f>
        <v>0</v>
      </c>
      <c r="F169" s="97"/>
      <c r="G169" s="855" t="s">
        <v>59</v>
      </c>
      <c r="H169" s="1413">
        <f>IF(B164=0,0,SUBTOTAL(3,B164))</f>
        <v>0</v>
      </c>
      <c r="I169" s="1277" t="s">
        <v>22</v>
      </c>
      <c r="J169" s="855" t="s">
        <v>59</v>
      </c>
      <c r="K169" s="51">
        <f>IF(H169&gt;0,K166,0)</f>
        <v>0</v>
      </c>
      <c r="L169" s="52" t="s">
        <v>5</v>
      </c>
      <c r="M169" s="1407" t="s">
        <v>122</v>
      </c>
      <c r="N169" s="1402">
        <f>IF(O169=0,0,"―")</f>
        <v>0</v>
      </c>
      <c r="O169" s="1404">
        <f>IF(H169=0,0,IF(BY171=0,IF($D$94=7,BZ170,IF($D$94=5,CA170,IF($D$94=2,CB170,CC170))),IF($D$94=7,BZ170+BZ171,IF($D$94=5,CA170+CA171,IF($D$94=2,CB170+CB171,CC170+CC171)))))</f>
        <v>0</v>
      </c>
      <c r="P169" s="1405"/>
      <c r="Q169" s="1377" t="s">
        <v>130</v>
      </c>
      <c r="R169" s="1403">
        <f>IF(H169&gt;0,IF(K166=0,0,ROUNDDOWN(((E169*H169)*K169/K170)-O169,0)),0)</f>
        <v>0</v>
      </c>
      <c r="S169" s="1381" t="s">
        <v>6</v>
      </c>
      <c r="T169" s="1207" t="s">
        <v>32</v>
      </c>
      <c r="U169" s="1458">
        <f>IF($L$176=$A$176,"限度超過!",U167)</f>
        <v>0</v>
      </c>
      <c r="V169" s="1470" t="s">
        <v>6</v>
      </c>
      <c r="W169" s="30" t="s">
        <v>37</v>
      </c>
      <c r="X169" s="29">
        <f t="shared" si="101"/>
        <v>0</v>
      </c>
      <c r="Y169" s="1199" t="s">
        <v>44</v>
      </c>
      <c r="Z169" s="1394">
        <f>IF($AH$13&gt;0,0,BB169)</f>
        <v>0</v>
      </c>
      <c r="AA169" s="4"/>
      <c r="AB169" s="4"/>
      <c r="AC169" s="492"/>
      <c r="AD169" s="4"/>
      <c r="AE169" s="500" t="str">
        <f>IF($AG$2&gt;0,"限度超過",IF(X165+X166+X167+X168+X169+X170+Z165+Z166+Z167+Z168=Z169,"OK","エラー"))</f>
        <v>OK</v>
      </c>
      <c r="AF169" s="1362">
        <f>IF(H169&gt;0,IF(K166=0,0,ROUNDDOWN((E169*H169)-O169,0)),0)</f>
        <v>0</v>
      </c>
      <c r="AG169" s="4"/>
      <c r="AI169" s="174"/>
      <c r="AJ169" s="174"/>
      <c r="AK169" s="174"/>
      <c r="AL169" s="174"/>
      <c r="AM169" s="174"/>
      <c r="AN169" s="174"/>
      <c r="AO169" s="126" t="s">
        <v>37</v>
      </c>
      <c r="AP169" s="347">
        <f>ROUND((AP80-AP258)*AQ164,0)</f>
        <v>0</v>
      </c>
      <c r="AQ169" s="355" t="s">
        <v>44</v>
      </c>
      <c r="AR169" s="349">
        <f>AP165+AP166+AP167+AP168+AP169+AP170+AR165+AR166+AR167+AR168</f>
        <v>0</v>
      </c>
      <c r="AS169" s="353"/>
      <c r="AT169" s="126" t="s">
        <v>37</v>
      </c>
      <c r="AU169" s="347">
        <f>IF(AV164=0,0,IF(AV164&gt;=6,1,IF(AV164&lt;=-6,-1,0)))</f>
        <v>0</v>
      </c>
      <c r="AV169" s="355" t="s">
        <v>44</v>
      </c>
      <c r="AW169" s="356">
        <f>AU165+AU166+AU167+AU168+AU169+AU170+AW165+AW166+AW167+AW168</f>
        <v>0</v>
      </c>
      <c r="AX169" s="321"/>
      <c r="AY169" s="264" t="s">
        <v>37</v>
      </c>
      <c r="AZ169" s="375">
        <f t="shared" si="102"/>
        <v>0</v>
      </c>
      <c r="BA169" s="323" t="s">
        <v>44</v>
      </c>
      <c r="BB169" s="420">
        <f>IF($AG$2&gt;0,"限度超過",AZ165+AZ166+AZ167+AZ168+AZ169+AZ170+BB165+BB166+BB167+BB168)</f>
        <v>0</v>
      </c>
      <c r="BC169" s="321"/>
      <c r="BD169" s="451" t="s">
        <v>37</v>
      </c>
      <c r="BE169" s="81">
        <f t="shared" si="103"/>
        <v>0</v>
      </c>
      <c r="BF169" s="443" t="s">
        <v>44</v>
      </c>
      <c r="BG169" s="29">
        <f>IF($A$176=$L$176,"限度超過",BE165+BE166+BE167+BE168+BE169+BE170+BG165+BG166+BG167+BG168)</f>
        <v>0</v>
      </c>
      <c r="BH169" s="12"/>
      <c r="BI169" s="30" t="s">
        <v>37</v>
      </c>
      <c r="BJ169" s="29">
        <f t="shared" si="104"/>
        <v>0</v>
      </c>
      <c r="BK169" s="98" t="s">
        <v>44</v>
      </c>
      <c r="BL169" s="29">
        <f>IF($A$176=$L$176,"限度超過",BJ165+BJ166+BJ167+BJ168+BJ169+BJ170+BL165+BL166+BL167+BL168)</f>
        <v>0</v>
      </c>
      <c r="BM169" s="12"/>
      <c r="BN169" s="30" t="s">
        <v>37</v>
      </c>
      <c r="BO169" s="29">
        <f t="shared" si="105"/>
        <v>0</v>
      </c>
      <c r="BP169" s="98" t="s">
        <v>44</v>
      </c>
      <c r="BQ169" s="29">
        <f>IF($A$176=$L$176,"限度超過",BO165+BO166+BO167+BO168+BO169+BO170+BQ165+BQ166+BQ167+BQ168)</f>
        <v>0</v>
      </c>
      <c r="BR169" s="449"/>
      <c r="BS169" s="12"/>
      <c r="BT169" s="12"/>
      <c r="BU169" s="32" t="s">
        <v>136</v>
      </c>
      <c r="BV169" s="45">
        <f>K146</f>
        <v>0</v>
      </c>
      <c r="BW169" s="12"/>
      <c r="BX169" s="32" t="s">
        <v>26</v>
      </c>
      <c r="BY169" s="26">
        <f>H169</f>
        <v>0</v>
      </c>
      <c r="BZ169" s="99">
        <f t="shared" si="106"/>
        <v>0</v>
      </c>
      <c r="CA169" s="99">
        <f t="shared" si="106"/>
        <v>0</v>
      </c>
      <c r="CB169" s="99">
        <f t="shared" si="106"/>
        <v>0</v>
      </c>
      <c r="CC169" s="713">
        <f>CB169</f>
        <v>0</v>
      </c>
      <c r="CD169" s="4"/>
      <c r="CE169" s="4"/>
      <c r="CF169" s="4"/>
      <c r="CG169" s="4"/>
      <c r="CH169" s="4"/>
      <c r="CI169" s="13"/>
    </row>
    <row r="170" spans="1:87" ht="18" customHeight="1">
      <c r="A170" s="1421"/>
      <c r="B170" s="12"/>
      <c r="C170" s="12"/>
      <c r="D170" s="1419"/>
      <c r="E170" s="1416"/>
      <c r="F170" s="12"/>
      <c r="G170" s="855"/>
      <c r="H170" s="1413"/>
      <c r="I170" s="1277"/>
      <c r="J170" s="855"/>
      <c r="K170" s="180">
        <f>IF(H169&gt;0,K167,0)</f>
        <v>0</v>
      </c>
      <c r="L170" s="12" t="s">
        <v>5</v>
      </c>
      <c r="M170" s="1407"/>
      <c r="N170" s="1402"/>
      <c r="O170" s="1405"/>
      <c r="P170" s="1405"/>
      <c r="Q170" s="1377"/>
      <c r="R170" s="1403"/>
      <c r="S170" s="1381"/>
      <c r="T170" s="1411"/>
      <c r="U170" s="1459"/>
      <c r="V170" s="1471"/>
      <c r="W170" s="30" t="s">
        <v>38</v>
      </c>
      <c r="X170" s="29">
        <f t="shared" si="101"/>
        <v>0</v>
      </c>
      <c r="Y170" s="1368"/>
      <c r="Z170" s="1395"/>
      <c r="AA170" s="71"/>
      <c r="AB170" s="71"/>
      <c r="AC170" s="224"/>
      <c r="AD170" s="71"/>
      <c r="AE170" s="71"/>
      <c r="AF170" s="1363"/>
      <c r="AG170" s="71"/>
      <c r="AH170" s="71"/>
      <c r="AI170" s="170"/>
      <c r="AJ170" s="170"/>
      <c r="AK170" s="170"/>
      <c r="AL170" s="170"/>
      <c r="AM170" s="170"/>
      <c r="AN170" s="174"/>
      <c r="AO170" s="126" t="s">
        <v>38</v>
      </c>
      <c r="AP170" s="347">
        <f>ROUND((AP81-AP259)*AQ164,0)</f>
        <v>0</v>
      </c>
      <c r="AQ170" s="354" t="s">
        <v>75</v>
      </c>
      <c r="AR170" s="333">
        <f>IF($AG$2&gt;0,"限度超過",U169)</f>
        <v>0</v>
      </c>
      <c r="AS170" s="350"/>
      <c r="AT170" s="126" t="s">
        <v>38</v>
      </c>
      <c r="AU170" s="347">
        <f>IF(AV164=0,0,IF(AV164&gt;=5,1,IF(AV164&lt;=-5,-1,0)))</f>
        <v>0</v>
      </c>
      <c r="AV170" s="354"/>
      <c r="AW170" s="357" t="str">
        <f>IF(AU165+AU166+AU167+AU168+AU169+AU170+AW165+AW166+AW167+AW168=AV164,"計算ＯＫ","エラー発生")</f>
        <v>計算ＯＫ</v>
      </c>
      <c r="AX170" s="321"/>
      <c r="AY170" s="264" t="s">
        <v>38</v>
      </c>
      <c r="AZ170" s="375">
        <f t="shared" si="102"/>
        <v>0</v>
      </c>
      <c r="BA170" s="322"/>
      <c r="BB170" s="421">
        <f>IF($AG$2&gt;0,"限度超過",IF($A$176=$L$176,"限度超過",$U$109))</f>
        <v>4100</v>
      </c>
      <c r="BC170" s="321"/>
      <c r="BD170" s="451" t="s">
        <v>38</v>
      </c>
      <c r="BE170" s="81">
        <f t="shared" si="103"/>
        <v>0</v>
      </c>
      <c r="BF170" s="82"/>
      <c r="BG170" s="100"/>
      <c r="BH170" s="12"/>
      <c r="BI170" s="30" t="s">
        <v>38</v>
      </c>
      <c r="BJ170" s="29">
        <f t="shared" si="104"/>
        <v>0</v>
      </c>
      <c r="BK170" s="30"/>
      <c r="BL170" s="100"/>
      <c r="BM170" s="12"/>
      <c r="BN170" s="30" t="s">
        <v>38</v>
      </c>
      <c r="BO170" s="29">
        <f t="shared" si="105"/>
        <v>0</v>
      </c>
      <c r="BP170" s="30"/>
      <c r="BQ170" s="100"/>
      <c r="BR170" s="449"/>
      <c r="BS170" s="12"/>
      <c r="BT170" s="12"/>
      <c r="BU170" s="32" t="s">
        <v>137</v>
      </c>
      <c r="BV170" s="45">
        <f>K156</f>
        <v>0</v>
      </c>
      <c r="BW170" s="12"/>
      <c r="BX170" s="67" t="s">
        <v>27</v>
      </c>
      <c r="BY170" s="45">
        <f>IF(BY169&gt;0,ROUNDDOWN(BY166*BY169*BY167/BY168,0),0)</f>
        <v>0</v>
      </c>
      <c r="BZ170" s="45">
        <f>IF(BZ169&gt;0,ROUNDDOWN(BZ166*BZ169*BZ167/BZ168,0),0)</f>
        <v>0</v>
      </c>
      <c r="CA170" s="45">
        <f>IF(CA169&gt;0,ROUNDDOWN(CA166*CA169*CA167/CA168,0),0)</f>
        <v>0</v>
      </c>
      <c r="CB170" s="45">
        <f>IF(CB169&gt;0,ROUNDDOWN(CB166*CB169*CB167/CB168,0),0)</f>
        <v>0</v>
      </c>
      <c r="CC170" s="713">
        <v>0</v>
      </c>
      <c r="CD170" s="4"/>
      <c r="CE170" s="4"/>
      <c r="CF170" s="4"/>
      <c r="CG170" s="4"/>
      <c r="CH170" s="4"/>
      <c r="CI170" s="13"/>
    </row>
    <row r="171" spans="1:87" ht="18" customHeight="1">
      <c r="A171" s="202"/>
      <c r="B171" s="75" t="s">
        <v>118</v>
      </c>
      <c r="C171" s="12"/>
      <c r="D171" s="160"/>
      <c r="E171" s="161"/>
      <c r="F171" s="12"/>
      <c r="G171" s="50"/>
      <c r="H171" s="162"/>
      <c r="I171" s="159"/>
      <c r="J171" s="50"/>
      <c r="K171" s="180"/>
      <c r="L171" s="12"/>
      <c r="M171" s="86"/>
      <c r="N171" s="86"/>
      <c r="O171" s="181"/>
      <c r="P171" s="181"/>
      <c r="Q171" s="156"/>
      <c r="R171" s="157"/>
      <c r="S171" s="49"/>
      <c r="T171" s="50"/>
      <c r="U171" s="182"/>
      <c r="V171" s="50"/>
      <c r="W171" s="4"/>
      <c r="X171" s="26"/>
      <c r="Y171" s="170"/>
      <c r="Z171" s="187"/>
      <c r="AA171" s="73"/>
      <c r="AB171" s="73"/>
      <c r="AC171" s="225"/>
      <c r="AD171" s="73"/>
      <c r="AE171" s="73"/>
      <c r="AF171" s="236"/>
      <c r="AG171" s="73"/>
      <c r="AH171" s="191"/>
      <c r="AI171" s="175"/>
      <c r="AJ171" s="175"/>
      <c r="AK171" s="175"/>
      <c r="AL171" s="175"/>
      <c r="AM171" s="175"/>
      <c r="AN171" s="175"/>
      <c r="AO171" s="351"/>
      <c r="AP171" s="351"/>
      <c r="AQ171" s="352"/>
      <c r="AR171" s="352"/>
      <c r="AS171" s="350"/>
      <c r="AT171" s="350"/>
      <c r="AU171" s="350"/>
      <c r="AV171" s="350"/>
      <c r="AW171" s="350"/>
      <c r="AX171" s="321"/>
      <c r="AY171" s="426"/>
      <c r="AZ171" s="427"/>
      <c r="BA171" s="428"/>
      <c r="BB171" s="468" t="str">
        <f>IF(BB169=BB170,"OK","エラー")</f>
        <v>エラー</v>
      </c>
      <c r="BC171" s="321"/>
      <c r="BD171" s="452"/>
      <c r="BH171" s="12"/>
      <c r="BM171" s="12"/>
      <c r="BR171" s="449"/>
      <c r="BS171" s="12"/>
      <c r="BT171" s="12"/>
      <c r="BU171" s="32" t="s">
        <v>138</v>
      </c>
      <c r="BV171" s="45">
        <f>K166</f>
        <v>0</v>
      </c>
      <c r="BW171" s="12"/>
      <c r="BX171" s="32" t="s">
        <v>468</v>
      </c>
      <c r="BY171" s="713">
        <f>IF(入力画面!E42=1,1,0)</f>
        <v>1</v>
      </c>
      <c r="BZ171" s="713" t="e">
        <f>IF($BY$171=1,ROUNDDOWN($CF$101*BZ167/BZ168,0),0)</f>
        <v>#DIV/0!</v>
      </c>
      <c r="CA171" s="713" t="e">
        <f>IF($BY$171=1,ROUNDDOWN($CG$101*CA167/CA168,0),0)</f>
        <v>#DIV/0!</v>
      </c>
      <c r="CB171" s="713" t="e">
        <f>IF($BY$171=1,ROUNDDOWN($CH$101*CB167/CB168,0),0)</f>
        <v>#DIV/0!</v>
      </c>
      <c r="CC171" s="713" t="e">
        <f>IF($BY$171=1,ROUNDDOWN($CE$101*CC167/CC168,0),0)</f>
        <v>#DIV/0!</v>
      </c>
      <c r="CD171" s="4"/>
      <c r="CE171" s="4"/>
      <c r="CF171" s="4"/>
      <c r="CG171" s="4"/>
      <c r="CH171" s="4"/>
      <c r="CI171" s="13"/>
    </row>
    <row r="172" spans="1:87" ht="18" customHeight="1" thickBot="1">
      <c r="A172" s="58" t="s">
        <v>1</v>
      </c>
      <c r="B172" s="52"/>
      <c r="C172" s="189">
        <f>IF(H169&gt;0,$X$102,0)</f>
        <v>0</v>
      </c>
      <c r="D172" s="203" t="s">
        <v>6</v>
      </c>
      <c r="E172" s="60" t="s">
        <v>131</v>
      </c>
      <c r="F172" s="1204">
        <f>K166</f>
        <v>0</v>
      </c>
      <c r="G172" s="1204"/>
      <c r="H172" s="216" t="s">
        <v>5</v>
      </c>
      <c r="I172" s="1451" t="s">
        <v>14</v>
      </c>
      <c r="J172" s="1451"/>
      <c r="K172" s="1204">
        <f>C172*F172</f>
        <v>0</v>
      </c>
      <c r="L172" s="1204"/>
      <c r="M172" s="204" t="s">
        <v>6</v>
      </c>
      <c r="N172" s="204"/>
      <c r="O172" s="205"/>
      <c r="P172" s="205"/>
      <c r="Q172" s="63"/>
      <c r="R172" s="206"/>
      <c r="S172" s="59"/>
      <c r="T172" s="27"/>
      <c r="U172" s="207"/>
      <c r="V172" s="27"/>
      <c r="W172" s="188"/>
      <c r="X172" s="189"/>
      <c r="Y172" s="208"/>
      <c r="Z172" s="163"/>
      <c r="AA172" s="26"/>
      <c r="AB172" s="26"/>
      <c r="AC172" s="494"/>
      <c r="AD172" s="26"/>
      <c r="AE172" s="489"/>
      <c r="AF172" s="237"/>
      <c r="AG172" s="26"/>
      <c r="AH172" s="26"/>
      <c r="AI172" s="173"/>
      <c r="AJ172" s="173"/>
      <c r="AK172" s="173"/>
      <c r="AL172" s="173"/>
      <c r="AM172" s="173"/>
      <c r="AN172" s="173"/>
      <c r="AO172" s="173"/>
      <c r="AP172" s="173"/>
      <c r="AQ172" s="173"/>
      <c r="AR172" s="173"/>
      <c r="AS172" s="173"/>
      <c r="AT172" s="173"/>
      <c r="AU172" s="173"/>
      <c r="AV172" s="173"/>
      <c r="AW172" s="173"/>
      <c r="AX172" s="12"/>
      <c r="BC172" s="12"/>
      <c r="BD172" s="454"/>
      <c r="BE172" s="455"/>
      <c r="BF172" s="455"/>
      <c r="BG172" s="455"/>
      <c r="BH172" s="456"/>
      <c r="BI172" s="455"/>
      <c r="BJ172" s="455"/>
      <c r="BK172" s="455"/>
      <c r="BL172" s="455"/>
      <c r="BM172" s="456"/>
      <c r="BN172" s="455"/>
      <c r="BO172" s="455"/>
      <c r="BP172" s="455"/>
      <c r="BQ172" s="455"/>
      <c r="BR172" s="457"/>
      <c r="BS172" s="12"/>
      <c r="BT172" s="12"/>
      <c r="BU172" s="168" t="s">
        <v>108</v>
      </c>
      <c r="BV172" s="213">
        <f>MAX(BV165:BV171)</f>
        <v>12</v>
      </c>
      <c r="BW172" s="12"/>
      <c r="BX172" s="4"/>
      <c r="BY172" s="4"/>
      <c r="BZ172" s="4"/>
      <c r="CA172" s="4"/>
      <c r="CB172" s="4"/>
      <c r="CC172" s="4"/>
      <c r="CD172" s="4"/>
      <c r="CE172" s="4"/>
      <c r="CF172" s="4"/>
      <c r="CG172" s="4"/>
      <c r="CH172" s="4"/>
      <c r="CI172" s="13"/>
    </row>
    <row r="173" spans="1:87" ht="7.5" customHeight="1" thickTop="1">
      <c r="A173" s="49"/>
      <c r="B173" s="12"/>
      <c r="C173" s="12"/>
      <c r="D173" s="160"/>
      <c r="E173" s="161"/>
      <c r="F173" s="12"/>
      <c r="G173" s="50"/>
      <c r="H173" s="162"/>
      <c r="I173" s="159"/>
      <c r="J173" s="50"/>
      <c r="K173" s="180"/>
      <c r="L173" s="12"/>
      <c r="M173" s="86"/>
      <c r="N173" s="86"/>
      <c r="O173" s="181"/>
      <c r="P173" s="181"/>
      <c r="Q173" s="156"/>
      <c r="R173" s="157"/>
      <c r="S173" s="49"/>
      <c r="T173" s="50"/>
      <c r="U173" s="190"/>
      <c r="V173" s="50"/>
      <c r="W173" s="4"/>
      <c r="X173" s="26"/>
      <c r="Y173" s="170"/>
      <c r="Z173" s="157"/>
      <c r="AA173" s="26"/>
      <c r="AB173" s="26"/>
      <c r="AC173" s="494"/>
      <c r="AD173" s="26"/>
      <c r="AE173" s="489"/>
      <c r="AF173" s="242"/>
      <c r="AG173" s="26"/>
      <c r="AH173" s="26"/>
      <c r="AI173" s="173"/>
      <c r="AJ173" s="173"/>
      <c r="AK173" s="173"/>
      <c r="AL173" s="173"/>
      <c r="AM173" s="173"/>
      <c r="AN173" s="173"/>
      <c r="AO173" s="173"/>
      <c r="AP173" s="173"/>
      <c r="AQ173" s="173"/>
      <c r="AR173" s="173"/>
      <c r="AS173" s="173"/>
      <c r="AT173" s="173"/>
      <c r="AU173" s="173"/>
      <c r="AV173" s="173"/>
      <c r="AW173" s="173"/>
      <c r="AX173" s="12"/>
      <c r="BC173" s="12"/>
      <c r="BH173" s="12"/>
      <c r="BM173" s="12"/>
      <c r="BR173" s="12"/>
      <c r="BS173" s="12"/>
      <c r="BT173" s="12"/>
      <c r="BU173" s="12"/>
      <c r="BV173" s="12"/>
      <c r="BW173" s="12"/>
      <c r="BX173" s="4"/>
      <c r="BY173" s="4"/>
      <c r="BZ173" s="4"/>
      <c r="CA173" s="4"/>
      <c r="CB173" s="4"/>
      <c r="CC173" s="4"/>
      <c r="CD173" s="4"/>
      <c r="CE173" s="4"/>
      <c r="CF173" s="4"/>
      <c r="CG173" s="4"/>
      <c r="CH173" s="4"/>
      <c r="CI173" s="13"/>
    </row>
    <row r="174" spans="1:87" ht="7.5" customHeight="1">
      <c r="D174" s="101"/>
      <c r="E174" s="70"/>
      <c r="G174" s="9"/>
      <c r="H174" s="102"/>
      <c r="I174" s="107"/>
      <c r="J174" s="9"/>
      <c r="K174" s="108"/>
      <c r="Q174" s="70"/>
      <c r="R174" s="69"/>
      <c r="S174" s="68"/>
      <c r="T174" s="68"/>
      <c r="U174" s="68"/>
      <c r="AA174" s="26"/>
      <c r="AB174" s="26"/>
      <c r="AC174" s="494"/>
      <c r="AD174" s="26"/>
      <c r="AE174" s="489"/>
      <c r="AF174" s="26"/>
      <c r="AG174" s="26"/>
      <c r="AH174" s="26"/>
      <c r="AI174" s="173"/>
      <c r="AJ174" s="173"/>
      <c r="AK174" s="173"/>
      <c r="AL174" s="173"/>
      <c r="AM174" s="173"/>
      <c r="AN174" s="173"/>
      <c r="AO174" s="173"/>
      <c r="AP174" s="173"/>
      <c r="AQ174" s="173"/>
      <c r="AR174" s="173"/>
      <c r="AS174" s="173"/>
      <c r="AT174" s="173"/>
      <c r="AU174" s="173"/>
      <c r="AV174" s="173"/>
      <c r="AW174" s="173"/>
      <c r="AX174" s="12"/>
      <c r="BC174" s="12"/>
      <c r="BH174" s="12"/>
      <c r="BM174" s="12"/>
      <c r="BR174" s="12"/>
      <c r="BS174" s="12"/>
      <c r="BT174" s="12"/>
      <c r="BU174" s="12"/>
      <c r="BV174" s="12"/>
      <c r="BW174" s="12"/>
      <c r="BX174" s="4"/>
      <c r="BY174" s="4"/>
      <c r="BZ174" s="4"/>
      <c r="CA174" s="4"/>
      <c r="CB174" s="4"/>
      <c r="CC174" s="4"/>
      <c r="CD174" s="4"/>
      <c r="CE174" s="4"/>
      <c r="CF174" s="4"/>
      <c r="CG174" s="4"/>
      <c r="CH174" s="4"/>
      <c r="CI174" s="13"/>
    </row>
    <row r="175" spans="1:87" ht="7.5" customHeight="1" thickBot="1">
      <c r="D175" s="101"/>
      <c r="E175" s="70"/>
      <c r="G175" s="9"/>
      <c r="H175" s="102"/>
      <c r="I175" s="107"/>
      <c r="J175" s="9"/>
      <c r="K175" s="108"/>
      <c r="Q175" s="70"/>
      <c r="R175" s="69"/>
      <c r="S175" s="68"/>
      <c r="T175" s="68"/>
      <c r="U175" s="68"/>
      <c r="AA175" s="26"/>
      <c r="AB175" s="26"/>
      <c r="AC175" s="494"/>
      <c r="AD175" s="26"/>
      <c r="AE175" s="489"/>
      <c r="AF175" s="26"/>
      <c r="AG175" s="26"/>
      <c r="AH175" s="26"/>
      <c r="AI175" s="173"/>
      <c r="AJ175" s="173"/>
      <c r="AK175" s="173"/>
      <c r="AL175" s="173"/>
      <c r="AM175" s="173"/>
      <c r="AN175" s="173"/>
      <c r="AO175" s="173"/>
      <c r="AP175" s="173"/>
      <c r="AQ175" s="173"/>
      <c r="AR175" s="173"/>
      <c r="AS175" s="173"/>
      <c r="AT175" s="173"/>
      <c r="AU175" s="173"/>
      <c r="AV175" s="173"/>
      <c r="AW175" s="173"/>
      <c r="AX175" s="12"/>
      <c r="BC175" s="12"/>
      <c r="BH175" s="12"/>
      <c r="BM175" s="12"/>
      <c r="BR175" s="12"/>
      <c r="BS175" s="12"/>
      <c r="BT175" s="12"/>
      <c r="BU175" s="12"/>
      <c r="BV175" s="12"/>
      <c r="BW175" s="12"/>
      <c r="BX175" s="4"/>
      <c r="BY175" s="4"/>
      <c r="BZ175" s="4"/>
      <c r="CA175" s="4"/>
      <c r="CB175" s="4"/>
      <c r="CC175" s="4"/>
      <c r="CD175" s="4"/>
      <c r="CE175" s="4"/>
      <c r="CF175" s="4"/>
      <c r="CG175" s="4"/>
      <c r="CH175" s="4"/>
      <c r="CI175" s="13"/>
    </row>
    <row r="176" spans="1:87" ht="31.5" customHeight="1" thickTop="1" thickBot="1">
      <c r="A176" s="1460">
        <f>CE99</f>
        <v>260000</v>
      </c>
      <c r="B176" s="1460"/>
      <c r="C176" s="1460"/>
      <c r="D176" s="1460"/>
      <c r="F176" s="109"/>
      <c r="G176" s="109"/>
      <c r="H176" s="1461" t="s">
        <v>161</v>
      </c>
      <c r="I176" s="1462"/>
      <c r="J176" s="1462"/>
      <c r="K176" s="1462"/>
      <c r="L176" s="1401">
        <f>IF(ROUNDDOWN(R106+R109+K112+R116+R119+K122+R126+R129+K132+R136+R139+K142+R146+R149+K152+R156+R159+K162+R166+R169+K172,-2)&gt;A176,A176,ROUNDDOWN(R106+R109+K112+R116+R119+K122+R126+R129+K132+R136+R139+K142+R146+R149+K152+R156+R159+K162+R166+R169+K172,-2))</f>
        <v>4100</v>
      </c>
      <c r="M176" s="1401"/>
      <c r="N176" s="1401"/>
      <c r="O176" s="1401"/>
      <c r="P176" s="1401"/>
      <c r="Q176" s="1401"/>
      <c r="R176" s="1401"/>
      <c r="S176" s="110" t="s">
        <v>6</v>
      </c>
      <c r="T176" s="49"/>
      <c r="U176" s="111"/>
      <c r="AA176" s="26"/>
      <c r="AB176" s="26"/>
      <c r="AC176" s="494"/>
      <c r="AD176" s="26"/>
      <c r="AE176" s="489"/>
      <c r="AF176" s="26"/>
      <c r="AG176" s="26"/>
      <c r="AH176" s="26"/>
      <c r="AI176" s="173"/>
      <c r="AJ176" s="173"/>
      <c r="AK176" s="173"/>
      <c r="AL176" s="173"/>
      <c r="AM176" s="173"/>
      <c r="AN176" s="173"/>
      <c r="AO176" s="173"/>
      <c r="AP176" s="173"/>
      <c r="AQ176" s="173"/>
      <c r="AR176" s="173"/>
      <c r="AS176" s="173"/>
      <c r="AT176" s="173"/>
      <c r="AU176" s="173"/>
      <c r="AV176" s="173"/>
      <c r="AW176" s="173"/>
      <c r="AX176" s="12"/>
      <c r="AY176" s="12"/>
      <c r="AZ176" s="1277"/>
      <c r="BA176" s="1277"/>
      <c r="BB176" s="1277"/>
      <c r="BC176" s="12"/>
      <c r="BD176" s="12"/>
      <c r="BE176" s="1277"/>
      <c r="BF176" s="1277"/>
      <c r="BG176" s="1277"/>
      <c r="BH176" s="12"/>
      <c r="BI176" s="12"/>
      <c r="BJ176" s="1277"/>
      <c r="BK176" s="1277"/>
      <c r="BL176" s="1277"/>
      <c r="BM176" s="12"/>
      <c r="BN176" s="12"/>
      <c r="BO176" s="1277"/>
      <c r="BP176" s="1277"/>
      <c r="BQ176" s="1277"/>
      <c r="BR176" s="12"/>
      <c r="BS176" s="12"/>
      <c r="BT176" s="12"/>
      <c r="BU176" s="12"/>
      <c r="BV176" s="12"/>
      <c r="BW176" s="12"/>
      <c r="BX176" s="4"/>
      <c r="BY176" s="4"/>
      <c r="BZ176" s="4"/>
      <c r="CA176" s="4"/>
      <c r="CB176" s="4"/>
      <c r="CC176" s="4"/>
      <c r="CD176" s="4"/>
      <c r="CE176" s="4"/>
      <c r="CF176" s="4"/>
      <c r="CG176" s="4"/>
      <c r="CH176" s="4"/>
      <c r="CI176" s="13"/>
    </row>
    <row r="177" spans="1:87" ht="16.5" customHeight="1" thickTop="1" thickBot="1">
      <c r="K177" s="1481"/>
      <c r="L177" s="1481"/>
      <c r="M177" s="1481"/>
      <c r="N177" s="1481"/>
      <c r="O177" s="1481"/>
      <c r="P177" s="1481"/>
      <c r="Q177" s="1481"/>
      <c r="R177" s="112" t="s">
        <v>13</v>
      </c>
      <c r="AA177" s="4"/>
      <c r="AB177" s="4"/>
      <c r="AC177" s="495"/>
      <c r="AD177" s="121"/>
      <c r="AE177" s="491"/>
      <c r="AF177" s="121"/>
      <c r="AG177" s="121"/>
      <c r="AH177" s="121"/>
      <c r="AI177" s="228"/>
      <c r="AJ177" s="228"/>
      <c r="AK177" s="228"/>
      <c r="AL177" s="228"/>
      <c r="AM177" s="228"/>
      <c r="AN177" s="228"/>
      <c r="AO177" s="228"/>
      <c r="AP177" s="228"/>
      <c r="AQ177" s="228"/>
      <c r="AR177" s="228"/>
      <c r="AS177" s="228"/>
      <c r="AT177" s="228"/>
      <c r="AU177" s="228"/>
      <c r="AV177" s="228"/>
      <c r="AW177" s="228"/>
      <c r="AX177" s="122"/>
      <c r="AY177" s="121"/>
      <c r="AZ177" s="121"/>
      <c r="BA177" s="195"/>
      <c r="BB177" s="195"/>
      <c r="BC177" s="122"/>
      <c r="BD177" s="121"/>
      <c r="BE177" s="121"/>
      <c r="BF177" s="121"/>
      <c r="BG177" s="121"/>
      <c r="BH177" s="122"/>
      <c r="BI177" s="121"/>
      <c r="BJ177" s="121"/>
      <c r="BK177" s="121"/>
      <c r="BL177" s="121"/>
      <c r="BM177" s="122"/>
      <c r="BN177" s="121"/>
      <c r="BO177" s="121"/>
      <c r="BP177" s="121"/>
      <c r="BQ177" s="121"/>
      <c r="BR177" s="122"/>
      <c r="BS177" s="122"/>
      <c r="BT177" s="122"/>
      <c r="BU177" s="122"/>
      <c r="BV177" s="122"/>
      <c r="BW177" s="122"/>
      <c r="BX177" s="121"/>
      <c r="BY177" s="121"/>
      <c r="BZ177" s="121"/>
      <c r="CA177" s="121"/>
      <c r="CB177" s="121"/>
      <c r="CC177" s="121"/>
      <c r="CD177" s="121"/>
      <c r="CE177" s="121"/>
      <c r="CF177" s="121"/>
      <c r="CG177" s="121"/>
      <c r="CH177" s="121"/>
      <c r="CI177" s="123"/>
    </row>
    <row r="178" spans="1:87" ht="9" customHeight="1">
      <c r="B178" s="113"/>
      <c r="C178" s="113"/>
      <c r="D178" s="113"/>
      <c r="K178" s="70"/>
      <c r="L178" s="70"/>
      <c r="M178" s="70"/>
      <c r="N178" s="114"/>
      <c r="O178" s="114"/>
      <c r="P178" s="70"/>
      <c r="Q178" s="70"/>
      <c r="R178" s="112"/>
      <c r="AC178" s="492"/>
      <c r="AD178" s="4"/>
      <c r="AE178" s="74"/>
      <c r="AF178" s="4"/>
      <c r="AG178" s="4"/>
      <c r="AH178" s="4"/>
      <c r="AI178" s="174"/>
      <c r="AJ178" s="174"/>
      <c r="AK178" s="174"/>
      <c r="AL178" s="174"/>
      <c r="AM178" s="174"/>
      <c r="AN178" s="174"/>
      <c r="AO178" s="174"/>
      <c r="AP178" s="174"/>
      <c r="AQ178" s="174"/>
      <c r="AR178" s="174"/>
      <c r="AS178" s="174"/>
      <c r="AT178" s="174"/>
      <c r="AU178" s="174"/>
      <c r="AV178" s="174"/>
      <c r="AW178" s="174"/>
      <c r="AX178" s="12"/>
      <c r="AY178" s="1275"/>
      <c r="AZ178" s="1275"/>
      <c r="BA178" s="1275"/>
      <c r="BB178" s="1275"/>
      <c r="BC178" s="12"/>
      <c r="BD178" s="1275"/>
      <c r="BE178" s="1275"/>
      <c r="BF178" s="1275"/>
      <c r="BG178" s="1275"/>
      <c r="BH178" s="12"/>
      <c r="BI178" s="1275"/>
      <c r="BJ178" s="1275"/>
      <c r="BK178" s="1275"/>
      <c r="BL178" s="1275"/>
      <c r="BM178" s="12"/>
      <c r="BN178" s="1275"/>
      <c r="BO178" s="1275"/>
      <c r="BP178" s="1275"/>
      <c r="BQ178" s="1275"/>
      <c r="BR178" s="12"/>
      <c r="BS178" s="12"/>
      <c r="BT178" s="12"/>
      <c r="BU178" s="12"/>
      <c r="BV178" s="12"/>
      <c r="BW178" s="12"/>
      <c r="BX178" s="4"/>
      <c r="BY178" s="4"/>
      <c r="BZ178" s="4"/>
      <c r="CA178" s="4"/>
      <c r="CB178" s="4"/>
      <c r="CC178" s="4"/>
      <c r="CD178" s="4"/>
      <c r="CE178" s="4"/>
      <c r="CF178" s="4"/>
      <c r="CG178" s="4"/>
      <c r="CH178" s="4"/>
      <c r="CI178" s="13"/>
    </row>
    <row r="179" spans="1:87" ht="30.75">
      <c r="A179" s="1428">
        <f>A1</f>
        <v>0</v>
      </c>
      <c r="B179" s="1428"/>
      <c r="C179" s="1428"/>
      <c r="D179" s="1428"/>
      <c r="E179" s="1428"/>
      <c r="F179" s="1428"/>
      <c r="G179" s="1428"/>
      <c r="H179" s="1428"/>
      <c r="I179" s="1428"/>
      <c r="J179" s="1428"/>
      <c r="K179" s="1428"/>
      <c r="L179" s="1428"/>
      <c r="M179" s="1428"/>
      <c r="N179" s="1428"/>
      <c r="O179" s="1428"/>
      <c r="P179" s="1428"/>
      <c r="Q179" s="1428"/>
      <c r="R179" s="1428"/>
      <c r="S179" s="1428"/>
      <c r="T179" s="1428"/>
      <c r="U179" s="1428"/>
      <c r="V179" s="1428"/>
      <c r="W179" s="1428"/>
      <c r="X179" s="1438" t="s">
        <v>15</v>
      </c>
      <c r="Y179" s="1438"/>
      <c r="Z179" s="1438"/>
      <c r="AA179" s="73"/>
      <c r="AB179" s="73"/>
      <c r="AC179" s="225"/>
      <c r="AD179" s="73"/>
      <c r="AE179" s="73"/>
      <c r="AF179" s="73"/>
      <c r="AG179" s="73"/>
      <c r="AH179" s="191"/>
      <c r="AI179" s="175"/>
      <c r="AJ179" s="175"/>
      <c r="AK179" s="175"/>
      <c r="AL179" s="175"/>
      <c r="AM179" s="175"/>
      <c r="AN179" s="175"/>
      <c r="AO179" s="175"/>
      <c r="AP179" s="175"/>
      <c r="AQ179" s="175"/>
      <c r="AR179" s="175"/>
      <c r="AS179" s="175"/>
      <c r="AT179" s="175"/>
      <c r="AU179" s="175"/>
      <c r="AV179" s="175"/>
      <c r="AW179" s="175"/>
      <c r="AX179" s="12"/>
      <c r="AY179" s="1275"/>
      <c r="AZ179" s="1275"/>
      <c r="BA179" s="1275"/>
      <c r="BB179" s="1275"/>
      <c r="BC179" s="12"/>
      <c r="BD179" s="1275"/>
      <c r="BE179" s="1275"/>
      <c r="BF179" s="1275"/>
      <c r="BG179" s="1275"/>
      <c r="BH179" s="12"/>
      <c r="BI179" s="1275"/>
      <c r="BJ179" s="1275"/>
      <c r="BK179" s="1275"/>
      <c r="BL179" s="1275"/>
      <c r="BM179" s="12"/>
      <c r="BN179" s="1275"/>
      <c r="BO179" s="1275"/>
      <c r="BP179" s="1275"/>
      <c r="BQ179" s="1275"/>
      <c r="BR179" s="12"/>
      <c r="BS179" s="12"/>
      <c r="BT179" s="12"/>
      <c r="BU179" s="12"/>
      <c r="BV179" s="12"/>
      <c r="BW179" s="12"/>
      <c r="BX179" s="4"/>
      <c r="BY179" s="4"/>
      <c r="BZ179" s="4"/>
      <c r="CA179" s="4"/>
      <c r="CB179" s="4"/>
      <c r="CC179" s="4"/>
      <c r="CD179" s="4"/>
      <c r="CE179" s="4"/>
      <c r="CF179" s="4"/>
      <c r="CG179" s="4"/>
      <c r="CH179" s="4"/>
      <c r="CI179" s="13"/>
    </row>
    <row r="180" spans="1:87" ht="18.75" customHeight="1">
      <c r="A180" s="1429" t="s">
        <v>48</v>
      </c>
      <c r="B180" s="1429"/>
      <c r="C180" s="1429"/>
      <c r="D180" s="1472">
        <f>D2</f>
        <v>0</v>
      </c>
      <c r="E180" s="1472"/>
      <c r="F180" s="1472"/>
      <c r="G180" s="3" t="s">
        <v>22</v>
      </c>
      <c r="T180" s="115"/>
      <c r="U180" s="11"/>
      <c r="V180" s="11"/>
      <c r="AA180" s="26"/>
      <c r="AB180" s="26"/>
      <c r="AC180" s="494"/>
      <c r="AD180" s="26"/>
      <c r="AE180" s="489"/>
      <c r="AF180" s="26"/>
      <c r="AG180" s="26"/>
      <c r="AH180" s="26"/>
      <c r="AI180" s="173"/>
      <c r="AJ180" s="173"/>
      <c r="AK180" s="173"/>
      <c r="AL180" s="173"/>
      <c r="AM180" s="173"/>
      <c r="AN180" s="173"/>
      <c r="AO180" s="173"/>
      <c r="AP180" s="173"/>
      <c r="AQ180" s="173"/>
      <c r="AR180" s="173"/>
      <c r="AS180" s="173"/>
      <c r="AT180" s="173"/>
      <c r="AU180" s="173"/>
      <c r="AV180" s="173"/>
      <c r="AW180" s="173"/>
      <c r="AX180" s="12"/>
      <c r="AZ180" s="57"/>
      <c r="BB180" s="194"/>
      <c r="BC180" s="12"/>
      <c r="BE180" s="57"/>
      <c r="BG180" s="57"/>
      <c r="BH180" s="12"/>
      <c r="BJ180" s="57"/>
      <c r="BL180" s="57"/>
      <c r="BM180" s="12"/>
      <c r="BO180" s="57"/>
      <c r="BQ180" s="57"/>
      <c r="BR180" s="12"/>
      <c r="BS180" s="12"/>
      <c r="BT180" s="12"/>
      <c r="BU180" s="12"/>
      <c r="BV180" s="12"/>
      <c r="BW180" s="12"/>
      <c r="BX180" s="4"/>
      <c r="BY180" s="4"/>
      <c r="BZ180" s="4"/>
      <c r="CA180" s="4"/>
      <c r="CB180" s="4"/>
      <c r="CC180" s="4"/>
      <c r="CD180" s="4"/>
      <c r="CE180" s="4"/>
      <c r="CF180" s="4"/>
      <c r="CG180" s="4"/>
      <c r="CH180" s="4"/>
      <c r="CI180" s="13"/>
    </row>
    <row r="181" spans="1:87" ht="18.75" customHeight="1">
      <c r="A181" s="1372" t="s">
        <v>3</v>
      </c>
      <c r="B181" s="1372"/>
      <c r="C181" s="1372"/>
      <c r="D181" s="130"/>
      <c r="E181" s="130"/>
      <c r="F181" s="130"/>
      <c r="G181" s="130"/>
      <c r="H181" s="130"/>
      <c r="I181" s="130"/>
      <c r="J181" s="130"/>
      <c r="K181" s="130"/>
      <c r="L181" s="130"/>
      <c r="M181" s="130"/>
      <c r="N181" s="130"/>
      <c r="O181" s="130"/>
      <c r="P181" s="130"/>
      <c r="Q181" s="130"/>
      <c r="R181" s="130"/>
      <c r="S181" s="130"/>
      <c r="T181" s="130"/>
      <c r="U181" s="130"/>
      <c r="V181" s="199"/>
      <c r="W181" s="1432" t="s">
        <v>68</v>
      </c>
      <c r="X181" s="1433"/>
      <c r="Y181" s="1433"/>
      <c r="Z181" s="1434"/>
      <c r="AA181" s="26"/>
      <c r="AB181" s="26"/>
      <c r="AC181" s="494"/>
      <c r="AD181" s="26"/>
      <c r="AE181" s="489"/>
      <c r="AF181" s="189"/>
      <c r="AG181" s="26"/>
      <c r="AH181" s="26"/>
      <c r="AI181" s="173"/>
      <c r="AJ181" s="173"/>
      <c r="AK181" s="173"/>
      <c r="AL181" s="173"/>
      <c r="AM181" s="173"/>
      <c r="AN181" s="173"/>
      <c r="AO181" s="173"/>
      <c r="AP181" s="173"/>
      <c r="AQ181" s="173"/>
      <c r="AR181" s="173"/>
      <c r="AS181" s="173"/>
      <c r="AT181" s="173"/>
      <c r="AU181" s="173"/>
      <c r="AV181" s="173"/>
      <c r="AW181" s="173"/>
      <c r="AX181" s="12"/>
      <c r="AZ181" s="57"/>
      <c r="BB181" s="194"/>
      <c r="BC181" s="12"/>
      <c r="BE181" s="57"/>
      <c r="BG181" s="57"/>
      <c r="BH181" s="12"/>
      <c r="BJ181" s="57"/>
      <c r="BL181" s="57"/>
      <c r="BM181" s="12"/>
      <c r="BO181" s="57"/>
      <c r="BQ181" s="57"/>
      <c r="BR181" s="12"/>
      <c r="BS181" s="12"/>
      <c r="BT181" s="12"/>
      <c r="BU181" s="12"/>
      <c r="BV181" s="12"/>
      <c r="BW181" s="12"/>
      <c r="BX181" s="4"/>
      <c r="BY181" s="4"/>
      <c r="BZ181" s="4"/>
      <c r="CA181" s="4"/>
      <c r="CB181" s="4"/>
      <c r="CC181" s="4"/>
      <c r="CD181" s="4"/>
      <c r="CE181" s="4"/>
      <c r="CF181" s="4"/>
      <c r="CG181" s="4"/>
      <c r="CH181" s="4"/>
      <c r="CI181" s="13"/>
    </row>
    <row r="182" spans="1:87" ht="18.75" customHeight="1">
      <c r="A182" s="1372"/>
      <c r="B182" s="1372"/>
      <c r="C182" s="1372"/>
      <c r="W182" s="1435"/>
      <c r="X182" s="1436"/>
      <c r="Y182" s="1436"/>
      <c r="Z182" s="1437"/>
      <c r="AA182" s="26"/>
      <c r="AB182" s="26"/>
      <c r="AC182" s="494"/>
      <c r="AD182" s="26"/>
      <c r="AE182" s="489"/>
      <c r="AF182" s="240" t="s">
        <v>18</v>
      </c>
      <c r="AG182" s="1444" t="s">
        <v>140</v>
      </c>
      <c r="AH182" s="26"/>
      <c r="AI182" s="173"/>
      <c r="AJ182" s="173"/>
      <c r="AK182" s="173"/>
      <c r="AL182" s="173"/>
      <c r="AM182" s="173"/>
      <c r="AN182" s="173"/>
      <c r="AO182" s="173"/>
      <c r="AP182" s="173"/>
      <c r="AQ182" s="173"/>
      <c r="AR182" s="173"/>
      <c r="AS182" s="173"/>
      <c r="AT182" s="173"/>
      <c r="AU182" s="173"/>
      <c r="AV182" s="173"/>
      <c r="AW182" s="173"/>
      <c r="AX182" s="12"/>
      <c r="AZ182" s="57"/>
      <c r="BB182" s="194"/>
      <c r="BC182" s="12"/>
      <c r="BE182" s="57"/>
      <c r="BG182" s="57"/>
      <c r="BH182" s="12"/>
      <c r="BJ182" s="57"/>
      <c r="BL182" s="57"/>
      <c r="BM182" s="12"/>
      <c r="BO182" s="57"/>
      <c r="BQ182" s="57"/>
      <c r="BR182" s="12"/>
      <c r="BS182" s="12"/>
      <c r="BT182" s="12"/>
      <c r="BU182" s="12"/>
      <c r="BV182" s="12"/>
      <c r="BW182" s="12"/>
      <c r="BX182" s="4"/>
      <c r="BY182" s="4"/>
      <c r="BZ182" s="4"/>
      <c r="CA182" s="4"/>
      <c r="CB182" s="4"/>
      <c r="CC182" s="4"/>
      <c r="CD182" s="4"/>
      <c r="CE182" s="4"/>
      <c r="CF182" s="4"/>
      <c r="CG182" s="4"/>
      <c r="CH182" s="4"/>
      <c r="CI182" s="13"/>
    </row>
    <row r="183" spans="1:87" ht="23.25" customHeight="1">
      <c r="B183" s="17"/>
      <c r="C183" s="17"/>
      <c r="D183" s="116">
        <f>D5</f>
        <v>7</v>
      </c>
      <c r="E183" s="1378" t="s">
        <v>23</v>
      </c>
      <c r="F183" s="1379"/>
      <c r="K183" s="18"/>
      <c r="R183" s="19" t="s">
        <v>28</v>
      </c>
      <c r="S183" s="20">
        <f>H198+H208+H218+H228+H238+H248+H258</f>
        <v>0</v>
      </c>
      <c r="T183" s="21" t="s">
        <v>4</v>
      </c>
      <c r="W183" s="22" t="s">
        <v>34</v>
      </c>
      <c r="X183" s="23">
        <f t="shared" ref="X183:X188" si="107">IF($AH$13&gt;0,0,CP66)</f>
        <v>0</v>
      </c>
      <c r="Y183" s="24" t="s">
        <v>39</v>
      </c>
      <c r="Z183" s="25">
        <f>IF($AH$13&gt;0,0,CP72)</f>
        <v>0</v>
      </c>
      <c r="AA183" s="26"/>
      <c r="AB183" s="26"/>
      <c r="AC183" s="505" t="s">
        <v>34</v>
      </c>
      <c r="AD183" s="509" t="str">
        <f t="shared" ref="AD183:AD188" si="108">AK200</f>
        <v>OK</v>
      </c>
      <c r="AE183" s="489"/>
      <c r="AF183" s="241">
        <f>CE188</f>
        <v>170000</v>
      </c>
      <c r="AG183" s="1445"/>
      <c r="AH183" s="26"/>
      <c r="AI183" s="173"/>
      <c r="AJ183" s="173"/>
      <c r="AK183" s="173"/>
      <c r="AL183" s="173"/>
      <c r="AM183" s="173"/>
      <c r="AN183" s="173"/>
      <c r="AO183" s="173"/>
      <c r="AP183" s="173"/>
      <c r="AQ183" s="173"/>
      <c r="AR183" s="173"/>
      <c r="AS183" s="173"/>
      <c r="AT183" s="173"/>
      <c r="AU183" s="173"/>
      <c r="AV183" s="173"/>
      <c r="AW183" s="173"/>
      <c r="AX183" s="12"/>
      <c r="AZ183" s="57"/>
      <c r="BB183" s="194"/>
      <c r="BC183" s="12"/>
      <c r="BE183" s="57"/>
      <c r="BG183" s="57"/>
      <c r="BH183" s="12"/>
      <c r="BJ183" s="57"/>
      <c r="BL183" s="57"/>
      <c r="BM183" s="12"/>
      <c r="BO183" s="57"/>
      <c r="BQ183" s="57"/>
      <c r="BR183" s="12"/>
      <c r="BS183" s="12"/>
      <c r="BT183" s="12"/>
      <c r="BU183" s="12"/>
      <c r="BV183" s="12"/>
      <c r="BW183" s="12"/>
      <c r="BX183" s="4"/>
      <c r="BY183" s="4"/>
      <c r="BZ183" s="4"/>
      <c r="CA183" s="4"/>
      <c r="CB183" s="4"/>
      <c r="CC183" s="4"/>
      <c r="CD183" s="192" t="s">
        <v>20</v>
      </c>
      <c r="CE183" s="192"/>
      <c r="CF183" s="192"/>
      <c r="CG183" s="192"/>
      <c r="CH183" s="192"/>
      <c r="CI183" s="13"/>
    </row>
    <row r="184" spans="1:87" ht="23.25" customHeight="1">
      <c r="A184" s="1473">
        <f>'合計（印刷）'!B2</f>
        <v>0</v>
      </c>
      <c r="B184" s="1473"/>
      <c r="C184" s="1473"/>
      <c r="D184" s="1473"/>
      <c r="E184" s="1473"/>
      <c r="F184" s="1473"/>
      <c r="G184" s="1473"/>
      <c r="H184" s="1473"/>
      <c r="I184" s="1473"/>
      <c r="J184" s="1473"/>
      <c r="K184" s="1473"/>
      <c r="L184" s="1473"/>
      <c r="M184" s="1473"/>
      <c r="N184" s="1473"/>
      <c r="O184" s="1473"/>
      <c r="P184" s="1473"/>
      <c r="Q184" s="1473"/>
      <c r="R184" s="1473"/>
      <c r="S184" s="1473"/>
      <c r="T184" s="1473"/>
      <c r="U184" s="1473"/>
      <c r="V184" s="1474"/>
      <c r="W184" s="28" t="s">
        <v>35</v>
      </c>
      <c r="X184" s="29">
        <f t="shared" si="107"/>
        <v>0</v>
      </c>
      <c r="Y184" s="30" t="s">
        <v>40</v>
      </c>
      <c r="Z184" s="31">
        <f>IF($AH$13&gt;0,0,CP73)</f>
        <v>0</v>
      </c>
      <c r="AA184" s="26"/>
      <c r="AB184" s="26"/>
      <c r="AC184" s="506" t="s">
        <v>35</v>
      </c>
      <c r="AD184" s="510" t="str">
        <f t="shared" si="108"/>
        <v>OK</v>
      </c>
      <c r="AE184" s="489"/>
      <c r="AF184" s="239" t="s">
        <v>44</v>
      </c>
      <c r="AG184" s="1446">
        <f>IF(AF183&gt;=AF185,0,1)</f>
        <v>0</v>
      </c>
      <c r="AH184" s="26"/>
      <c r="AI184" s="173"/>
      <c r="AJ184" s="173"/>
      <c r="AK184" s="173"/>
      <c r="AL184" s="173"/>
      <c r="AM184" s="173"/>
      <c r="AN184" s="173"/>
      <c r="AO184" s="173"/>
      <c r="AP184" s="173"/>
      <c r="AQ184" s="173"/>
      <c r="AR184" s="173"/>
      <c r="AS184" s="173"/>
      <c r="AT184" s="173"/>
      <c r="AU184" s="173"/>
      <c r="AV184" s="173"/>
      <c r="AW184" s="173"/>
      <c r="AX184" s="12"/>
      <c r="AZ184" s="57"/>
      <c r="BB184" s="194"/>
      <c r="BC184" s="12"/>
      <c r="BE184" s="57"/>
      <c r="BG184" s="57"/>
      <c r="BH184" s="12"/>
      <c r="BJ184" s="57"/>
      <c r="BL184" s="57"/>
      <c r="BM184" s="12"/>
      <c r="BO184" s="57"/>
      <c r="BQ184" s="57"/>
      <c r="BR184" s="12"/>
      <c r="BS184" s="12"/>
      <c r="BT184" s="12"/>
      <c r="BU184" s="12"/>
      <c r="BV184" s="12"/>
      <c r="BW184" s="12"/>
      <c r="BX184" s="4"/>
      <c r="BY184" s="4"/>
      <c r="BZ184" s="4"/>
      <c r="CA184" s="4"/>
      <c r="CB184" s="4"/>
      <c r="CC184" s="4"/>
      <c r="CD184" s="34"/>
      <c r="CE184" s="35" t="s">
        <v>19</v>
      </c>
      <c r="CF184" s="117">
        <v>7</v>
      </c>
      <c r="CG184" s="117">
        <v>5</v>
      </c>
      <c r="CH184" s="117">
        <v>2</v>
      </c>
      <c r="CI184" s="13"/>
    </row>
    <row r="185" spans="1:87" ht="23.25" customHeight="1">
      <c r="A185" s="37"/>
      <c r="B185" s="38"/>
      <c r="C185" s="38"/>
      <c r="D185" s="38"/>
      <c r="E185" s="38"/>
      <c r="F185" s="38"/>
      <c r="G185" s="38"/>
      <c r="H185" s="39"/>
      <c r="I185" s="38"/>
      <c r="J185" s="38"/>
      <c r="K185" s="40" t="s">
        <v>9</v>
      </c>
      <c r="L185" s="38"/>
      <c r="M185" s="38"/>
      <c r="N185" s="41"/>
      <c r="O185" s="166"/>
      <c r="P185" s="167"/>
      <c r="Q185" s="38"/>
      <c r="R185" s="38"/>
      <c r="S185" s="38"/>
      <c r="T185" s="38"/>
      <c r="U185" s="38"/>
      <c r="V185" s="141"/>
      <c r="W185" s="28" t="s">
        <v>36</v>
      </c>
      <c r="X185" s="29">
        <f t="shared" si="107"/>
        <v>0</v>
      </c>
      <c r="Y185" s="30" t="s">
        <v>41</v>
      </c>
      <c r="Z185" s="31">
        <f>IF($AH$13&gt;0,0,CP74)</f>
        <v>0</v>
      </c>
      <c r="AA185" s="4"/>
      <c r="AB185" s="4"/>
      <c r="AC185" s="506" t="s">
        <v>36</v>
      </c>
      <c r="AD185" s="510" t="str">
        <f t="shared" si="108"/>
        <v>OK</v>
      </c>
      <c r="AE185" s="74"/>
      <c r="AF185" s="45">
        <f>AF188+AF194+AF204+AF214+AF224+AF234+AF244+AF254</f>
        <v>4270</v>
      </c>
      <c r="AG185" s="1447"/>
      <c r="AH185" s="4"/>
      <c r="AI185" s="174"/>
      <c r="AJ185" s="174"/>
      <c r="AK185" s="174"/>
      <c r="AL185" s="174"/>
      <c r="AM185" s="174"/>
      <c r="AN185" s="174"/>
      <c r="AO185" s="174"/>
      <c r="AP185" s="174"/>
      <c r="AQ185" s="174"/>
      <c r="AR185" s="174"/>
      <c r="AS185" s="174"/>
      <c r="AT185" s="174"/>
      <c r="AU185" s="174"/>
      <c r="AV185" s="174"/>
      <c r="AW185" s="174"/>
      <c r="AX185" s="12"/>
      <c r="AZ185" s="57"/>
      <c r="BB185" s="194"/>
      <c r="BC185" s="12"/>
      <c r="BE185" s="57"/>
      <c r="BG185" s="57"/>
      <c r="BH185" s="12"/>
      <c r="BJ185" s="57"/>
      <c r="BL185" s="57"/>
      <c r="BM185" s="12"/>
      <c r="BO185" s="57"/>
      <c r="BQ185" s="57"/>
      <c r="BR185" s="12"/>
      <c r="BS185" s="12"/>
      <c r="BT185" s="12"/>
      <c r="BU185" s="12"/>
      <c r="BV185" s="12"/>
      <c r="BW185" s="12"/>
      <c r="BX185" s="4"/>
      <c r="BY185" s="4"/>
      <c r="BZ185" s="4"/>
      <c r="CA185" s="4"/>
      <c r="CB185" s="4"/>
      <c r="CC185" s="4"/>
      <c r="CD185" s="46" t="s">
        <v>0</v>
      </c>
      <c r="CE185" s="47">
        <f>入力画面!E81</f>
        <v>2.69</v>
      </c>
      <c r="CF185" s="48"/>
      <c r="CG185" s="48"/>
      <c r="CH185" s="48"/>
      <c r="CI185" s="13"/>
    </row>
    <row r="186" spans="1:87" ht="23.25" customHeight="1">
      <c r="A186" s="1418" t="s">
        <v>1</v>
      </c>
      <c r="B186" s="1277"/>
      <c r="C186" s="855" t="s">
        <v>107</v>
      </c>
      <c r="D186" s="1419" t="s">
        <v>121</v>
      </c>
      <c r="E186" s="1376">
        <f>IF(S183&gt;0,CE187,0)</f>
        <v>0</v>
      </c>
      <c r="F186" s="1376"/>
      <c r="G186" s="1376"/>
      <c r="H186" s="855" t="s">
        <v>109</v>
      </c>
      <c r="I186" s="12"/>
      <c r="J186" s="855" t="s">
        <v>59</v>
      </c>
      <c r="K186" s="51">
        <f>MAX(BV259:BV265)</f>
        <v>0</v>
      </c>
      <c r="L186" s="52" t="s">
        <v>5</v>
      </c>
      <c r="M186" s="1380" t="s">
        <v>122</v>
      </c>
      <c r="N186" s="1377" t="s">
        <v>14</v>
      </c>
      <c r="O186" s="1404">
        <f>E186*K186/K187</f>
        <v>0</v>
      </c>
      <c r="P186" s="1404"/>
      <c r="Q186" s="1408" t="s">
        <v>6</v>
      </c>
      <c r="R186" s="1403"/>
      <c r="S186" s="1408"/>
      <c r="T186" s="49"/>
      <c r="U186" s="49"/>
      <c r="V186" s="53"/>
      <c r="W186" s="28" t="s">
        <v>43</v>
      </c>
      <c r="X186" s="29">
        <f t="shared" si="107"/>
        <v>0</v>
      </c>
      <c r="Y186" s="30" t="s">
        <v>42</v>
      </c>
      <c r="Z186" s="31">
        <f>IF($AH$13&gt;0,0,CP75)</f>
        <v>0</v>
      </c>
      <c r="AC186" s="506" t="s">
        <v>43</v>
      </c>
      <c r="AD186" s="510" t="str">
        <f t="shared" si="108"/>
        <v>OK</v>
      </c>
      <c r="AE186" s="497">
        <f>IF(AG184&gt;0,"限度超過",U198+U208+U218+U228+U238+U258)</f>
        <v>0</v>
      </c>
      <c r="AF186" s="473"/>
      <c r="AG186" s="26"/>
      <c r="AH186" s="4"/>
      <c r="AI186" s="174"/>
      <c r="AJ186" s="174"/>
      <c r="AK186" s="174"/>
      <c r="AL186" s="174"/>
      <c r="AM186" s="174"/>
      <c r="AN186" s="174"/>
      <c r="AO186" s="174"/>
      <c r="AP186" s="174"/>
      <c r="AQ186" s="174"/>
      <c r="AR186" s="174"/>
      <c r="AS186" s="174"/>
      <c r="AT186" s="174"/>
      <c r="AU186" s="174"/>
      <c r="AV186" s="174"/>
      <c r="AW186" s="174"/>
      <c r="AX186" s="12"/>
      <c r="AZ186" s="57"/>
      <c r="BB186" s="194"/>
      <c r="BC186" s="12"/>
      <c r="BE186" s="57"/>
      <c r="BG186" s="57"/>
      <c r="BH186" s="12"/>
      <c r="BJ186" s="57"/>
      <c r="BL186" s="57"/>
      <c r="BM186" s="12"/>
      <c r="BO186" s="57"/>
      <c r="BQ186" s="57"/>
      <c r="BR186" s="12"/>
      <c r="BS186" s="12"/>
      <c r="BT186" s="12"/>
      <c r="BU186" s="12"/>
      <c r="BV186" s="12"/>
      <c r="BW186" s="12"/>
      <c r="BX186" s="4"/>
      <c r="BY186" s="4"/>
      <c r="BZ186" s="4"/>
      <c r="CA186" s="4"/>
      <c r="CB186" s="4"/>
      <c r="CC186" s="4"/>
      <c r="CD186" s="46" t="s">
        <v>17</v>
      </c>
      <c r="CE186" s="54">
        <f>入力画面!E82</f>
        <v>7760</v>
      </c>
      <c r="CF186" s="54">
        <f>ROUNDUP(CE186*CF184/10,-1)</f>
        <v>5440</v>
      </c>
      <c r="CG186" s="54">
        <f>ROUNDUP(CE186*CG184/10,-1)</f>
        <v>3880</v>
      </c>
      <c r="CH186" s="54">
        <f>ROUNDUP(CE186*CH184/10,-1)</f>
        <v>1560</v>
      </c>
      <c r="CI186" s="13"/>
    </row>
    <row r="187" spans="1:87" ht="23.25" customHeight="1">
      <c r="A187" s="1418"/>
      <c r="B187" s="1277"/>
      <c r="C187" s="855"/>
      <c r="D187" s="1419"/>
      <c r="E187" s="1376"/>
      <c r="F187" s="1376"/>
      <c r="G187" s="1376"/>
      <c r="H187" s="855"/>
      <c r="I187" s="12"/>
      <c r="J187" s="855"/>
      <c r="K187" s="55">
        <v>12</v>
      </c>
      <c r="L187" s="12" t="s">
        <v>5</v>
      </c>
      <c r="M187" s="1380"/>
      <c r="N187" s="1377"/>
      <c r="O187" s="1404"/>
      <c r="P187" s="1404"/>
      <c r="Q187" s="1408"/>
      <c r="R187" s="1403"/>
      <c r="S187" s="1408"/>
      <c r="T187" s="49" t="s">
        <v>113</v>
      </c>
      <c r="U187" s="49"/>
      <c r="V187" s="53"/>
      <c r="W187" s="28" t="s">
        <v>37</v>
      </c>
      <c r="X187" s="29">
        <f t="shared" si="107"/>
        <v>0</v>
      </c>
      <c r="Y187" s="1423" t="s">
        <v>44</v>
      </c>
      <c r="Z187" s="1394">
        <f>IF($AH$13&gt;0,0,X183+X184+X185+X186+X187+X188+Z183+Z184+Z185+Z186)</f>
        <v>0</v>
      </c>
      <c r="AA187" s="73"/>
      <c r="AB187" s="73"/>
      <c r="AC187" s="506" t="s">
        <v>37</v>
      </c>
      <c r="AD187" s="510" t="str">
        <f t="shared" si="108"/>
        <v>OK</v>
      </c>
      <c r="AE187" s="498" t="str">
        <f>IF(AG184&gt;0,"限度超過",IF(Z187=AE186,"OK","エラー"))</f>
        <v>OK</v>
      </c>
      <c r="AF187" s="496"/>
      <c r="AG187" s="26"/>
      <c r="AH187" s="191"/>
      <c r="AI187" s="175"/>
      <c r="AJ187" s="175"/>
      <c r="AK187" s="175"/>
      <c r="AL187" s="175"/>
      <c r="AM187" s="175"/>
      <c r="AN187" s="175"/>
      <c r="AO187" s="175"/>
      <c r="AP187" s="175"/>
      <c r="AQ187" s="175"/>
      <c r="AR187" s="175"/>
      <c r="AS187" s="175"/>
      <c r="AT187" s="175"/>
      <c r="AU187" s="175"/>
      <c r="AV187" s="175"/>
      <c r="AW187" s="175"/>
      <c r="AX187" s="12"/>
      <c r="AZ187" s="57"/>
      <c r="BB187" s="194"/>
      <c r="BC187" s="12"/>
      <c r="BE187" s="57"/>
      <c r="BG187" s="57"/>
      <c r="BH187" s="12"/>
      <c r="BJ187" s="57"/>
      <c r="BL187" s="57"/>
      <c r="BM187" s="12"/>
      <c r="BO187" s="57"/>
      <c r="BQ187" s="57"/>
      <c r="BR187" s="12"/>
      <c r="BS187" s="12"/>
      <c r="BT187" s="12"/>
      <c r="BU187" s="12"/>
      <c r="BV187" s="12"/>
      <c r="BW187" s="12"/>
      <c r="BX187" s="4"/>
      <c r="BY187" s="4"/>
      <c r="BZ187" s="4"/>
      <c r="CA187" s="4"/>
      <c r="CB187" s="4"/>
      <c r="CC187" s="4"/>
      <c r="CD187" s="46" t="s">
        <v>1</v>
      </c>
      <c r="CE187" s="54">
        <f>入力画面!E83</f>
        <v>6100</v>
      </c>
      <c r="CF187" s="54">
        <f>ROUNDUP(CE187*CF184/10,-1)</f>
        <v>4270</v>
      </c>
      <c r="CG187" s="54">
        <f>ROUNDUP(CE187*CG184/10,-1)</f>
        <v>3050</v>
      </c>
      <c r="CH187" s="54">
        <f>ROUNDUP(CE187*CH184/10,-1)</f>
        <v>1220</v>
      </c>
      <c r="CI187" s="13"/>
    </row>
    <row r="188" spans="1:87" ht="23.25" customHeight="1">
      <c r="A188" s="165"/>
      <c r="B188" s="12"/>
      <c r="C188" s="12"/>
      <c r="D188" s="12"/>
      <c r="E188" s="12"/>
      <c r="F188" s="12"/>
      <c r="G188" s="12"/>
      <c r="H188" s="50"/>
      <c r="I188" s="12"/>
      <c r="J188" s="12"/>
      <c r="K188" s="76" t="s">
        <v>9</v>
      </c>
      <c r="L188" s="12"/>
      <c r="M188" s="12"/>
      <c r="N188" s="94"/>
      <c r="O188" s="42"/>
      <c r="P188" s="43"/>
      <c r="Q188" s="12"/>
      <c r="R188" s="12"/>
      <c r="S188" s="12" t="s">
        <v>116</v>
      </c>
      <c r="T188" s="161">
        <f>O186-O189</f>
        <v>0</v>
      </c>
      <c r="U188" s="12" t="s">
        <v>6</v>
      </c>
      <c r="V188" s="12"/>
      <c r="W188" s="65" t="s">
        <v>38</v>
      </c>
      <c r="X188" s="29">
        <f t="shared" si="107"/>
        <v>0</v>
      </c>
      <c r="Y188" s="1424"/>
      <c r="Z188" s="1425"/>
      <c r="AA188" s="26"/>
      <c r="AB188" s="26"/>
      <c r="AC188" s="506" t="s">
        <v>38</v>
      </c>
      <c r="AD188" s="510" t="str">
        <f t="shared" si="108"/>
        <v>OK</v>
      </c>
      <c r="AE188" s="497">
        <f>IF(AH13&gt;0,0,L265)</f>
        <v>0</v>
      </c>
      <c r="AF188" s="474">
        <f>E186+E189</f>
        <v>4270</v>
      </c>
      <c r="AG188" s="4"/>
      <c r="AH188" s="26"/>
      <c r="AI188" s="173"/>
      <c r="AJ188" s="173"/>
      <c r="AK188" s="173"/>
      <c r="AL188" s="173"/>
      <c r="AM188" s="173"/>
      <c r="AN188" s="173"/>
      <c r="AO188" s="173"/>
      <c r="AP188" s="173"/>
      <c r="AQ188" s="173"/>
      <c r="AR188" s="173"/>
      <c r="AS188" s="173"/>
      <c r="AT188" s="173"/>
      <c r="AU188" s="173"/>
      <c r="AV188" s="173"/>
      <c r="AW188" s="173"/>
      <c r="AX188" s="12"/>
      <c r="AY188" s="1347" t="s">
        <v>267</v>
      </c>
      <c r="AZ188" s="1348"/>
      <c r="BA188" s="1349"/>
      <c r="BB188" s="465">
        <f>IF(AG184&gt;0,"限度超過",BB198+BB208+BB218+BB228+BB238+BB248+BB258)</f>
        <v>0</v>
      </c>
      <c r="BC188" s="12"/>
      <c r="BE188" s="57"/>
      <c r="BG188" s="57"/>
      <c r="BH188" s="12"/>
      <c r="BJ188" s="57"/>
      <c r="BL188" s="57"/>
      <c r="BM188" s="12"/>
      <c r="BO188" s="57"/>
      <c r="BQ188" s="57"/>
      <c r="BR188" s="12"/>
      <c r="BS188" s="12"/>
      <c r="BT188" s="12"/>
      <c r="BU188" s="12"/>
      <c r="BV188" s="12"/>
      <c r="BW188" s="12"/>
      <c r="BX188" s="4"/>
      <c r="BY188" s="4"/>
      <c r="BZ188" s="4"/>
      <c r="CA188" s="4"/>
      <c r="CB188" s="4"/>
      <c r="CC188" s="4"/>
      <c r="CD188" s="46" t="s">
        <v>18</v>
      </c>
      <c r="CE188" s="54">
        <f>入力画面!E84</f>
        <v>170000</v>
      </c>
      <c r="CF188" s="48"/>
      <c r="CG188" s="48"/>
      <c r="CH188" s="48"/>
      <c r="CI188" s="13"/>
    </row>
    <row r="189" spans="1:87" ht="18.75" customHeight="1">
      <c r="A189" s="1418"/>
      <c r="B189" s="1277"/>
      <c r="C189" s="855" t="s">
        <v>24</v>
      </c>
      <c r="D189" s="1419" t="s">
        <v>123</v>
      </c>
      <c r="E189" s="1376">
        <f>IF(D183=0,0,IF(D183=7,CF187,IF(D183=5,CG187,IF(D183=2,CH187,"軽減誤り"))))</f>
        <v>4270</v>
      </c>
      <c r="F189" s="1376"/>
      <c r="G189" s="1376"/>
      <c r="H189" s="855" t="s">
        <v>109</v>
      </c>
      <c r="I189" s="12"/>
      <c r="J189" s="855" t="s">
        <v>59</v>
      </c>
      <c r="K189" s="51">
        <f>MAX(BV259:BV265)</f>
        <v>0</v>
      </c>
      <c r="L189" s="52" t="s">
        <v>5</v>
      </c>
      <c r="M189" s="1380" t="s">
        <v>122</v>
      </c>
      <c r="N189" s="1377" t="s">
        <v>14</v>
      </c>
      <c r="O189" s="1404">
        <f>E189*K189/K190</f>
        <v>0</v>
      </c>
      <c r="P189" s="1404"/>
      <c r="Q189" s="1408" t="s">
        <v>6</v>
      </c>
      <c r="R189" s="12"/>
      <c r="S189" s="12"/>
      <c r="T189" s="49"/>
      <c r="U189" s="49"/>
      <c r="V189" s="12"/>
      <c r="W189" s="1463" t="s">
        <v>120</v>
      </c>
      <c r="X189" s="1464"/>
      <c r="Y189" s="1465">
        <f>IF(Z187=0,0,Z187/K186)</f>
        <v>0</v>
      </c>
      <c r="Z189" s="1466"/>
      <c r="AA189" s="4"/>
      <c r="AB189" s="4"/>
      <c r="AC189" s="506" t="s">
        <v>39</v>
      </c>
      <c r="AD189" s="508" t="str">
        <f>AM200</f>
        <v>OK</v>
      </c>
      <c r="AE189" s="498" t="str">
        <f>IF(Z187=AE188,"OK","エラー")</f>
        <v>OK</v>
      </c>
      <c r="AF189" s="475"/>
      <c r="AG189" s="4"/>
      <c r="AH189" s="4" t="s">
        <v>166</v>
      </c>
      <c r="AI189" s="173"/>
      <c r="AJ189" s="173"/>
      <c r="AK189" s="173"/>
      <c r="AL189" s="173"/>
      <c r="AM189" s="173"/>
      <c r="AN189" s="173"/>
      <c r="AO189" s="173"/>
      <c r="AP189" s="173"/>
      <c r="AQ189" s="173"/>
      <c r="AR189" s="173"/>
      <c r="AS189" s="173"/>
      <c r="AT189" s="173"/>
      <c r="AU189" s="173"/>
      <c r="AV189" s="173"/>
      <c r="AW189" s="173"/>
      <c r="AX189" s="12"/>
      <c r="AY189" s="143"/>
      <c r="AZ189" s="57"/>
      <c r="BB189" s="1317" t="s">
        <v>268</v>
      </c>
      <c r="BC189" s="12"/>
      <c r="BE189" s="57"/>
      <c r="BG189" s="57"/>
      <c r="BH189" s="12"/>
      <c r="BJ189" s="57"/>
      <c r="BL189" s="57"/>
      <c r="BM189" s="12"/>
      <c r="BO189" s="57"/>
      <c r="BQ189" s="57"/>
      <c r="BR189" s="12"/>
      <c r="BS189" s="12"/>
      <c r="BT189" s="12"/>
      <c r="BU189" s="12"/>
      <c r="BV189" s="12"/>
      <c r="BW189" s="12"/>
      <c r="BX189" s="4"/>
      <c r="BY189" s="4"/>
      <c r="BZ189" s="4"/>
      <c r="CA189" s="4"/>
      <c r="CB189" s="4"/>
      <c r="CC189" s="4"/>
      <c r="CD189" s="35" t="s">
        <v>21</v>
      </c>
      <c r="CE189" s="54">
        <f>入力画面!E85</f>
        <v>430000</v>
      </c>
      <c r="CF189" s="48"/>
      <c r="CG189" s="48"/>
      <c r="CH189" s="48"/>
      <c r="CI189" s="13"/>
    </row>
    <row r="190" spans="1:87" ht="18.75" customHeight="1" thickBot="1">
      <c r="A190" s="1418"/>
      <c r="B190" s="1277"/>
      <c r="C190" s="855"/>
      <c r="D190" s="1419"/>
      <c r="E190" s="1376"/>
      <c r="F190" s="1376"/>
      <c r="G190" s="1376"/>
      <c r="H190" s="855"/>
      <c r="I190" s="12"/>
      <c r="J190" s="855"/>
      <c r="K190" s="55">
        <v>12</v>
      </c>
      <c r="L190" s="12" t="s">
        <v>5</v>
      </c>
      <c r="M190" s="1380"/>
      <c r="N190" s="1377"/>
      <c r="O190" s="1404"/>
      <c r="P190" s="1404"/>
      <c r="Q190" s="1408"/>
      <c r="R190" s="74"/>
      <c r="S190" s="12"/>
      <c r="T190" s="49" t="s">
        <v>114</v>
      </c>
      <c r="U190" s="49"/>
      <c r="V190" s="75" t="s">
        <v>118</v>
      </c>
      <c r="W190" s="4"/>
      <c r="X190" s="26"/>
      <c r="Y190" s="74"/>
      <c r="Z190" s="187"/>
      <c r="AA190" s="4"/>
      <c r="AB190" s="4"/>
      <c r="AC190" s="506" t="s">
        <v>40</v>
      </c>
      <c r="AD190" s="508" t="str">
        <f>AM201</f>
        <v>OK</v>
      </c>
      <c r="AE190" s="74"/>
      <c r="AF190" s="231"/>
      <c r="AG190" s="4"/>
      <c r="AH190" s="158" t="s">
        <v>117</v>
      </c>
      <c r="AI190" s="173"/>
      <c r="AJ190" s="173"/>
      <c r="AK190" s="173"/>
      <c r="AL190" s="173"/>
      <c r="AM190" s="173"/>
      <c r="AN190" s="173"/>
      <c r="AO190" s="173"/>
      <c r="AP190" s="173"/>
      <c r="AQ190" s="173"/>
      <c r="AR190" s="173"/>
      <c r="AS190" s="173"/>
      <c r="AT190" s="173"/>
      <c r="AU190" s="173"/>
      <c r="AV190" s="173"/>
      <c r="AW190" s="173"/>
      <c r="AX190" s="12"/>
      <c r="AY190" s="143"/>
      <c r="AZ190" s="57"/>
      <c r="BB190" s="1318"/>
      <c r="BC190" s="12"/>
      <c r="BE190" s="57"/>
      <c r="BG190" s="57"/>
      <c r="BH190" s="12"/>
      <c r="BJ190" s="57"/>
      <c r="BL190" s="57"/>
      <c r="BM190" s="12"/>
      <c r="BO190" s="57"/>
      <c r="BQ190" s="57"/>
      <c r="BR190" s="12"/>
      <c r="BS190" s="12"/>
      <c r="BT190" s="12"/>
      <c r="BU190" s="12"/>
      <c r="BV190" s="12"/>
      <c r="BW190" s="12"/>
      <c r="BX190" s="4"/>
      <c r="BY190" s="4"/>
      <c r="BZ190" s="4"/>
      <c r="CA190" s="4"/>
      <c r="CB190" s="4"/>
      <c r="CC190" s="4"/>
      <c r="CI190" s="13"/>
    </row>
    <row r="191" spans="1:87" ht="18.75" customHeight="1" thickTop="1">
      <c r="A191" s="58"/>
      <c r="B191" s="59"/>
      <c r="C191" s="59"/>
      <c r="D191" s="52"/>
      <c r="E191" s="60"/>
      <c r="F191" s="52"/>
      <c r="G191" s="52"/>
      <c r="H191" s="27"/>
      <c r="I191" s="52"/>
      <c r="J191" s="27"/>
      <c r="K191" s="61"/>
      <c r="L191" s="52"/>
      <c r="M191" s="52"/>
      <c r="N191" s="62"/>
      <c r="O191" s="62"/>
      <c r="P191" s="52"/>
      <c r="Q191" s="63"/>
      <c r="R191" s="52"/>
      <c r="S191" s="59" t="s">
        <v>115</v>
      </c>
      <c r="T191" s="212">
        <f>K195+K205+K215+K225+K235+K245+K255</f>
        <v>0</v>
      </c>
      <c r="U191" s="59" t="s">
        <v>5</v>
      </c>
      <c r="V191" s="52" t="s">
        <v>125</v>
      </c>
      <c r="W191" s="188"/>
      <c r="X191" s="189">
        <f>IF(K186=0,0,T188/T191)</f>
        <v>0</v>
      </c>
      <c r="Y191" s="60" t="s">
        <v>6</v>
      </c>
      <c r="Z191" s="163"/>
      <c r="AA191" s="4"/>
      <c r="AB191" s="4"/>
      <c r="AC191" s="506" t="s">
        <v>41</v>
      </c>
      <c r="AD191" s="508" t="str">
        <f>AM202</f>
        <v>OK</v>
      </c>
      <c r="AE191" s="74"/>
      <c r="AF191" s="231"/>
      <c r="AG191" s="4"/>
      <c r="AH191" s="275">
        <f>AH13</f>
        <v>0</v>
      </c>
      <c r="AI191" s="173"/>
      <c r="AJ191" s="173"/>
      <c r="AK191" s="173"/>
      <c r="AL191" s="173"/>
      <c r="AM191" s="173"/>
      <c r="AN191" s="387"/>
      <c r="AO191" s="386" t="s">
        <v>218</v>
      </c>
      <c r="AP191" s="1266" t="s">
        <v>223</v>
      </c>
      <c r="AQ191" s="1266"/>
      <c r="AR191" s="1266"/>
      <c r="AS191" s="387"/>
      <c r="AT191" s="1289" t="s">
        <v>218</v>
      </c>
      <c r="AU191" s="1289"/>
      <c r="AV191" s="387"/>
      <c r="AW191" s="387"/>
      <c r="AX191" s="359"/>
      <c r="AY191" s="1299" t="s">
        <v>218</v>
      </c>
      <c r="AZ191" s="1300"/>
      <c r="BA191" s="429"/>
      <c r="BB191" s="430"/>
      <c r="BC191" s="359"/>
      <c r="BD191" s="458"/>
      <c r="BE191" s="445"/>
      <c r="BF191" s="446"/>
      <c r="BG191" s="446"/>
      <c r="BH191" s="447"/>
      <c r="BI191" s="446"/>
      <c r="BJ191" s="445"/>
      <c r="BK191" s="446"/>
      <c r="BL191" s="446"/>
      <c r="BM191" s="447"/>
      <c r="BN191" s="446"/>
      <c r="BO191" s="445"/>
      <c r="BP191" s="446"/>
      <c r="BQ191" s="459"/>
      <c r="BR191" s="12"/>
      <c r="BS191" s="12"/>
      <c r="BT191" s="12"/>
      <c r="BU191" s="12"/>
      <c r="BV191" s="12"/>
      <c r="BW191" s="12"/>
      <c r="BX191" s="4"/>
      <c r="BY191" s="4"/>
      <c r="BZ191" s="4"/>
      <c r="CA191" s="4"/>
      <c r="CB191" s="4"/>
      <c r="CC191" s="4"/>
      <c r="CD191" s="4"/>
      <c r="CE191" s="4"/>
      <c r="CF191" s="4"/>
      <c r="CG191" s="4"/>
      <c r="CH191" s="4"/>
      <c r="CI191" s="13"/>
    </row>
    <row r="192" spans="1:87" ht="18.75" customHeight="1">
      <c r="A192" s="68"/>
      <c r="B192" s="68"/>
      <c r="C192" s="68"/>
      <c r="E192" s="69"/>
      <c r="J192" s="9"/>
      <c r="K192" s="18"/>
      <c r="Q192" s="70"/>
      <c r="R192" s="69"/>
      <c r="S192" s="68"/>
      <c r="T192" s="1261" t="s">
        <v>74</v>
      </c>
      <c r="U192" s="1261"/>
      <c r="V192" s="1261"/>
      <c r="W192" s="1261"/>
      <c r="X192" s="1261"/>
      <c r="Y192" s="1261"/>
      <c r="Z192" s="1261"/>
      <c r="AA192" s="26"/>
      <c r="AB192" s="26"/>
      <c r="AC192" s="506" t="s">
        <v>42</v>
      </c>
      <c r="AD192" s="508" t="str">
        <f>AM203</f>
        <v>OK</v>
      </c>
      <c r="AE192" s="489"/>
      <c r="AF192" s="232"/>
      <c r="AG192" s="71"/>
      <c r="AH192" s="4"/>
      <c r="AI192" s="173"/>
      <c r="AJ192" s="1475" t="s">
        <v>272</v>
      </c>
      <c r="AK192" s="1476"/>
      <c r="AL192" s="1476"/>
      <c r="AM192" s="1477"/>
      <c r="AN192" s="387"/>
      <c r="AO192" s="371" t="s">
        <v>219</v>
      </c>
      <c r="AP192" s="1398" t="s">
        <v>224</v>
      </c>
      <c r="AQ192" s="1398"/>
      <c r="AR192" s="1398"/>
      <c r="AS192" s="387"/>
      <c r="AT192" s="1301" t="s">
        <v>220</v>
      </c>
      <c r="AU192" s="1301"/>
      <c r="AV192" s="1301"/>
      <c r="AW192" s="1301"/>
      <c r="AX192" s="359"/>
      <c r="AY192" s="431" t="s">
        <v>226</v>
      </c>
      <c r="AZ192" s="1281" t="s">
        <v>225</v>
      </c>
      <c r="BA192" s="1281"/>
      <c r="BB192" s="1282"/>
      <c r="BC192" s="359"/>
      <c r="BD192" s="1267" t="s">
        <v>264</v>
      </c>
      <c r="BE192" s="1268"/>
      <c r="BF192" s="1268"/>
      <c r="BG192" s="1268"/>
      <c r="BH192" s="12"/>
      <c r="BI192" s="440" t="s">
        <v>265</v>
      </c>
      <c r="BJ192" s="1269" t="s">
        <v>263</v>
      </c>
      <c r="BK192" s="1269"/>
      <c r="BL192" s="1269"/>
      <c r="BM192" s="12"/>
      <c r="BN192" s="12"/>
      <c r="BO192" s="143" t="s">
        <v>266</v>
      </c>
      <c r="BP192" s="12" t="s">
        <v>88</v>
      </c>
      <c r="BQ192" s="449"/>
      <c r="BR192" s="12"/>
      <c r="BS192" s="12"/>
      <c r="BT192" s="12"/>
      <c r="BU192" s="12"/>
      <c r="BV192" s="12"/>
      <c r="BW192" s="12"/>
      <c r="BX192" s="4"/>
      <c r="BY192" s="4"/>
      <c r="BZ192" s="4"/>
      <c r="CA192" s="4"/>
      <c r="CB192" s="4"/>
      <c r="CC192" s="4"/>
      <c r="CD192" s="4"/>
      <c r="CE192" s="74"/>
      <c r="CF192" s="84"/>
      <c r="CG192" s="84"/>
      <c r="CH192" s="84"/>
      <c r="CI192" s="13"/>
    </row>
    <row r="193" spans="1:87" ht="18.75" customHeight="1">
      <c r="A193" s="196" t="s">
        <v>51</v>
      </c>
      <c r="B193" s="1382">
        <f>IF(I193=1,B15,0)</f>
        <v>0</v>
      </c>
      <c r="C193" s="1382"/>
      <c r="D193" s="1382"/>
      <c r="E193" s="198" t="s">
        <v>11</v>
      </c>
      <c r="F193" s="1412" t="s">
        <v>57</v>
      </c>
      <c r="G193" s="1412"/>
      <c r="H193" s="1412"/>
      <c r="I193" s="1449">
        <f>IF(I15=1,1,0)</f>
        <v>0</v>
      </c>
      <c r="J193" s="1450"/>
      <c r="K193" s="1373">
        <f>IF($AG$2&gt;0,0,IF((X195+X196+X197+X198+X199+Z194+Z195+Z196+Z197)&lt;0,"＊＊エラー介護該当者は①から入力＊＊",0))</f>
        <v>0</v>
      </c>
      <c r="L193" s="1374"/>
      <c r="M193" s="1374"/>
      <c r="N193" s="1374"/>
      <c r="O193" s="1374"/>
      <c r="P193" s="1374"/>
      <c r="Q193" s="1374"/>
      <c r="R193" s="1374"/>
      <c r="S193" s="1375"/>
      <c r="T193" s="197" t="s">
        <v>47</v>
      </c>
      <c r="U193" s="1383">
        <f>IF(U198&gt;0,"介護分",0)</f>
        <v>0</v>
      </c>
      <c r="V193" s="1384"/>
      <c r="W193" s="1385" t="s">
        <v>46</v>
      </c>
      <c r="X193" s="1164"/>
      <c r="Y193" s="1164"/>
      <c r="Z193" s="1165"/>
      <c r="AA193" s="26"/>
      <c r="AB193" s="26"/>
      <c r="AC193" s="507" t="s">
        <v>117</v>
      </c>
      <c r="AD193" s="504" t="str">
        <f>AM204</f>
        <v>OK</v>
      </c>
      <c r="AE193" s="489"/>
      <c r="AF193" s="238" t="s">
        <v>117</v>
      </c>
      <c r="AG193" s="73"/>
      <c r="AH193" s="276">
        <f>IF(K195=0,0,IF(K195&lt;12,1,0))</f>
        <v>0</v>
      </c>
      <c r="AI193" s="174"/>
      <c r="AJ193" s="1478"/>
      <c r="AK193" s="1479"/>
      <c r="AL193" s="1479"/>
      <c r="AM193" s="1480"/>
      <c r="AN193" s="400" t="s">
        <v>51</v>
      </c>
      <c r="AO193" s="1320" t="s">
        <v>221</v>
      </c>
      <c r="AP193" s="1287"/>
      <c r="AQ193" s="1396">
        <f>IF(AR20=0,0,ROUNDDOWN(AR199/AR20,8))</f>
        <v>0</v>
      </c>
      <c r="AR193" s="1397"/>
      <c r="AS193" s="389"/>
      <c r="AT193" s="1320" t="s">
        <v>215</v>
      </c>
      <c r="AU193" s="1287"/>
      <c r="AV193" s="1284">
        <f>IF($AG$184&gt;0,0,AR199-AR198)</f>
        <v>0</v>
      </c>
      <c r="AW193" s="1285"/>
      <c r="AX193" s="359"/>
      <c r="AY193" s="1286" t="s">
        <v>46</v>
      </c>
      <c r="AZ193" s="1287"/>
      <c r="BA193" s="1456">
        <f>IF(R195+R198=0,0,IF(K196&gt;K195,"期割がアンマッチ使用禁止↓",0))</f>
        <v>0</v>
      </c>
      <c r="BB193" s="1457"/>
      <c r="BC193" s="359"/>
      <c r="BD193" s="1272" t="s">
        <v>46</v>
      </c>
      <c r="BE193" s="1273"/>
      <c r="BF193" s="1304" t="s">
        <v>128</v>
      </c>
      <c r="BG193" s="1305"/>
      <c r="BH193" s="12"/>
      <c r="BI193" s="1139" t="s">
        <v>89</v>
      </c>
      <c r="BJ193" s="1273"/>
      <c r="BK193" s="441"/>
      <c r="BL193" s="442"/>
      <c r="BM193" s="12"/>
      <c r="BN193" s="1139" t="s">
        <v>46</v>
      </c>
      <c r="BO193" s="1273"/>
      <c r="BP193" s="1270"/>
      <c r="BQ193" s="1278"/>
      <c r="BR193" s="12"/>
      <c r="BS193" s="12"/>
      <c r="BT193" s="12"/>
      <c r="BU193" s="12"/>
      <c r="BV193" s="12"/>
      <c r="BW193" s="12"/>
      <c r="BX193" s="32"/>
      <c r="BY193" s="33" t="str">
        <f>BY203</f>
        <v>料率</v>
      </c>
      <c r="BZ193" s="33">
        <f>BZ203</f>
        <v>7</v>
      </c>
      <c r="CA193" s="33">
        <f>CA203</f>
        <v>5</v>
      </c>
      <c r="CB193" s="33">
        <f>CB203</f>
        <v>2</v>
      </c>
      <c r="CC193" s="4"/>
      <c r="CD193" s="4"/>
      <c r="CE193" s="89"/>
      <c r="CF193" s="4"/>
      <c r="CG193" s="4"/>
      <c r="CH193" s="4"/>
      <c r="CI193" s="13"/>
    </row>
    <row r="194" spans="1:87" ht="18.75" customHeight="1">
      <c r="A194" s="165"/>
      <c r="B194" s="12"/>
      <c r="C194" s="75" t="s">
        <v>33</v>
      </c>
      <c r="D194" s="12"/>
      <c r="E194" s="12"/>
      <c r="F194" s="12"/>
      <c r="G194" s="12"/>
      <c r="H194" s="50"/>
      <c r="I194" s="12"/>
      <c r="J194" s="12"/>
      <c r="K194" s="76" t="s">
        <v>9</v>
      </c>
      <c r="L194" s="12"/>
      <c r="M194" s="1409">
        <f>IF(H198&gt;0,IF(R195+R198=0, 0, IF(K196=K195,0,IF(K196&gt;K195,"年度途中で資格変動有？保険料内訳のみ使用可能",0))),0)</f>
        <v>0</v>
      </c>
      <c r="N194" s="1409"/>
      <c r="O194" s="1409"/>
      <c r="P194" s="1409"/>
      <c r="Q194" s="1409"/>
      <c r="R194" s="1409"/>
      <c r="S194" s="1410"/>
      <c r="T194" s="77" t="s">
        <v>30</v>
      </c>
      <c r="U194" s="78">
        <f>R195+R198</f>
        <v>0</v>
      </c>
      <c r="V194" s="79" t="s">
        <v>6</v>
      </c>
      <c r="W194" s="80" t="s">
        <v>34</v>
      </c>
      <c r="X194" s="29">
        <f t="shared" ref="X194:X199" si="109">IF($AH$13&gt;0,0,IF($AG$2&gt;0,"限度超過",X183-(X204+X214+X224+X234+X244+X254)))</f>
        <v>0</v>
      </c>
      <c r="Y194" s="80" t="s">
        <v>39</v>
      </c>
      <c r="Z194" s="31">
        <f>IF($AH$13&gt;0,0,IF($AG$2&gt;0,"限度超過",Z183-(Z204+Z214+Z224+Z234+Z244+Z254)))</f>
        <v>0</v>
      </c>
      <c r="AA194" s="26"/>
      <c r="AB194" s="26"/>
      <c r="AC194" s="494"/>
      <c r="AD194" s="26"/>
      <c r="AE194" s="489"/>
      <c r="AF194" s="219">
        <f>AF195+AF198+AF201</f>
        <v>0</v>
      </c>
      <c r="AG194" s="26"/>
      <c r="AH194" s="26"/>
      <c r="AI194" s="174"/>
      <c r="AJ194" s="22" t="s">
        <v>34</v>
      </c>
      <c r="AK194" s="23">
        <f t="shared" ref="AK194:AK199" si="110">IF($AG$2&gt;0,0,X194+X204+X214+X224+X234+X244+X254)</f>
        <v>0</v>
      </c>
      <c r="AL194" s="476" t="s">
        <v>39</v>
      </c>
      <c r="AM194" s="477">
        <f>IF($AG$2&gt;0,0,Z194+Z204+Z214+Z224+Z234+Z244+Z254)</f>
        <v>0</v>
      </c>
      <c r="AN194" s="389"/>
      <c r="AO194" s="361" t="s">
        <v>34</v>
      </c>
      <c r="AP194" s="390">
        <f>ROUND(AP16*AQ193,0)</f>
        <v>0</v>
      </c>
      <c r="AQ194" s="363" t="s">
        <v>39</v>
      </c>
      <c r="AR194" s="391">
        <f>ROUND(AR16*AQ193,0)</f>
        <v>0</v>
      </c>
      <c r="AS194" s="389"/>
      <c r="AT194" s="364" t="s">
        <v>34</v>
      </c>
      <c r="AU194" s="390">
        <f>IF(AV193=0,0,IF(AV193&gt;=10,1,IF(AV193&lt;=-10,-1,0)))</f>
        <v>0</v>
      </c>
      <c r="AV194" s="392" t="s">
        <v>39</v>
      </c>
      <c r="AW194" s="391">
        <f>IF(AV193=0,0,IF(AV193&gt;=4,1,IF(AV193&lt;=-4,-1,0)))</f>
        <v>0</v>
      </c>
      <c r="AX194" s="359"/>
      <c r="AY194" s="432" t="s">
        <v>34</v>
      </c>
      <c r="AZ194" s="362">
        <f>IF($AG$2&gt;0,"限度超過",AP194+AU194)</f>
        <v>0</v>
      </c>
      <c r="BA194" s="363" t="s">
        <v>39</v>
      </c>
      <c r="BB194" s="433">
        <f>IF($AG$2&gt;0,"限度超過",AR194+AW194)</f>
        <v>0</v>
      </c>
      <c r="BC194" s="359"/>
      <c r="BD194" s="450" t="s">
        <v>34</v>
      </c>
      <c r="BE194" s="81">
        <f t="shared" ref="BE194:BE199" si="111">IF($A$265=$L$265,"限度超過",X183-(AZ194+AZ204+AZ214+AZ224+AZ234+AZ244+AZ254))</f>
        <v>0</v>
      </c>
      <c r="BF194" s="80" t="s">
        <v>39</v>
      </c>
      <c r="BG194" s="29">
        <f>IF($A$265=$L$265,"限度超過",Z183-(BB194+BB204+BB214+BB224+BB234+BB244+BB254))</f>
        <v>0</v>
      </c>
      <c r="BH194" s="12"/>
      <c r="BI194" s="80" t="s">
        <v>34</v>
      </c>
      <c r="BJ194" s="29">
        <f t="shared" ref="BJ194:BJ199" si="112">IF($A$265=$L$265,"限度超過",IF(BE194=0,0,BE194/$S$183))</f>
        <v>0</v>
      </c>
      <c r="BK194" s="80" t="s">
        <v>39</v>
      </c>
      <c r="BL194" s="29">
        <f>IF($A$265=$L$265,"限度超過",IF(BG194=0,0,BG194/$S$183))</f>
        <v>0</v>
      </c>
      <c r="BM194" s="12"/>
      <c r="BN194" s="80" t="s">
        <v>34</v>
      </c>
      <c r="BO194" s="29">
        <f t="shared" ref="BO194:BO199" si="113">IF($A$265=$L$265,"限度超過",IF($S$183&lt;=1,BE194,BE194-(BO204+BO214+BO224+BO234+BO244+BO254)))</f>
        <v>0</v>
      </c>
      <c r="BP194" s="80" t="s">
        <v>39</v>
      </c>
      <c r="BQ194" s="460">
        <f>IF($A$265=$L$265,"限度超過",IF($S$183&lt;=1,BG194,BG194-(BQ204+BQ214+BQ224+BQ234+BQ244+BQ254)))</f>
        <v>0</v>
      </c>
      <c r="BR194" s="12"/>
      <c r="BS194" s="12"/>
      <c r="BT194" s="12"/>
      <c r="BU194" s="12"/>
      <c r="BV194" s="12"/>
      <c r="BW194" s="12"/>
      <c r="BX194" s="32" t="s">
        <v>1</v>
      </c>
      <c r="BY194" s="44">
        <v>0</v>
      </c>
      <c r="BZ194" s="45">
        <f>CF187</f>
        <v>4270</v>
      </c>
      <c r="CA194" s="45">
        <f>CG187</f>
        <v>3050</v>
      </c>
      <c r="CB194" s="45">
        <f>CH187</f>
        <v>1220</v>
      </c>
      <c r="CC194" s="4"/>
      <c r="CD194" s="4"/>
      <c r="CE194" s="90"/>
      <c r="CF194" s="26"/>
      <c r="CG194" s="26"/>
      <c r="CH194" s="26"/>
      <c r="CI194" s="13"/>
    </row>
    <row r="195" spans="1:87" ht="18.75" customHeight="1">
      <c r="A195" s="1421" t="s">
        <v>0</v>
      </c>
      <c r="B195" s="1448" t="s">
        <v>129</v>
      </c>
      <c r="C195" s="1376">
        <f>IF(K195&gt;0,C17,0)</f>
        <v>0</v>
      </c>
      <c r="D195" s="855" t="s">
        <v>58</v>
      </c>
      <c r="E195" s="1416">
        <f>IF(H198&gt;0,$CE$189, 0)</f>
        <v>0</v>
      </c>
      <c r="F195" s="1380" t="s">
        <v>22</v>
      </c>
      <c r="G195" s="855" t="s">
        <v>59</v>
      </c>
      <c r="H195" s="85">
        <f>IF(H198&gt;0,$CE$185,0)</f>
        <v>0</v>
      </c>
      <c r="I195" s="1277" t="s">
        <v>22</v>
      </c>
      <c r="J195" s="855" t="s">
        <v>59</v>
      </c>
      <c r="K195" s="51">
        <f>入力画面!I15</f>
        <v>0</v>
      </c>
      <c r="L195" s="52" t="s">
        <v>5</v>
      </c>
      <c r="M195" s="118"/>
      <c r="N195" s="119"/>
      <c r="O195" s="119"/>
      <c r="P195" s="1377" t="s">
        <v>130</v>
      </c>
      <c r="Q195" s="1377"/>
      <c r="R195" s="1403">
        <f>ROUNDDOWN(IF(((C195-E195)*H195/H196)*K195/K196&lt;0,0,((C195-E195)*H195/H196)*K195/K196),0)</f>
        <v>0</v>
      </c>
      <c r="S195" s="1408" t="s">
        <v>6</v>
      </c>
      <c r="T195" s="72" t="s">
        <v>1</v>
      </c>
      <c r="U195" s="105">
        <f>T188-(U205+U215+U225+U235+U245+U255)</f>
        <v>0</v>
      </c>
      <c r="V195" s="88" t="s">
        <v>6</v>
      </c>
      <c r="W195" s="30" t="s">
        <v>35</v>
      </c>
      <c r="X195" s="29">
        <f t="shared" si="109"/>
        <v>0</v>
      </c>
      <c r="Y195" s="30" t="s">
        <v>40</v>
      </c>
      <c r="Z195" s="31">
        <f>IF($AH$13&gt;0,0,IF($AG$2&gt;0,"限度超過",Z184-(Z205+Z215+Z225+Z235+Z245+Z255)))</f>
        <v>0</v>
      </c>
      <c r="AA195" s="26"/>
      <c r="AB195" s="26"/>
      <c r="AC195" s="494"/>
      <c r="AD195" s="26"/>
      <c r="AE195" s="489"/>
      <c r="AF195" s="1360">
        <f>ROUNDDOWN(IF(((C195-E195)*H195/H196)&lt;0,0,((C195-E195)*H195/H196)),0)</f>
        <v>0</v>
      </c>
      <c r="AG195" s="26"/>
      <c r="AH195" s="26"/>
      <c r="AI195" s="175"/>
      <c r="AJ195" s="28" t="s">
        <v>35</v>
      </c>
      <c r="AK195" s="29">
        <f t="shared" si="110"/>
        <v>0</v>
      </c>
      <c r="AL195" s="478" t="s">
        <v>40</v>
      </c>
      <c r="AM195" s="479">
        <f>IF($AG$2&gt;0,0,Z195+Z205+Z215+Z225+Z235+Z245+Z255)</f>
        <v>0</v>
      </c>
      <c r="AN195" s="393"/>
      <c r="AO195" s="364" t="s">
        <v>35</v>
      </c>
      <c r="AP195" s="390">
        <f>ROUND(AP17*AQ193,0)</f>
        <v>0</v>
      </c>
      <c r="AQ195" s="363" t="s">
        <v>40</v>
      </c>
      <c r="AR195" s="391">
        <f>ROUND(AR17*AQ193,0)</f>
        <v>0</v>
      </c>
      <c r="AS195" s="393"/>
      <c r="AT195" s="364" t="s">
        <v>35</v>
      </c>
      <c r="AU195" s="390">
        <f>IF(AV193=0,0,IF(AV193&gt;=9,1,IF(AV193&lt;=-9,-1,0)))</f>
        <v>0</v>
      </c>
      <c r="AV195" s="392" t="s">
        <v>40</v>
      </c>
      <c r="AW195" s="391">
        <f>IF(AV193=0,0,IF(AV193&gt;=3,1,IF(AV193&lt;=-3,-1,0)))</f>
        <v>0</v>
      </c>
      <c r="AX195" s="359"/>
      <c r="AY195" s="434" t="s">
        <v>35</v>
      </c>
      <c r="AZ195" s="362">
        <f t="shared" ref="AZ195:BB199" si="114">IF($AG$2&gt;0,"限度超過",AP195+AU195)</f>
        <v>0</v>
      </c>
      <c r="BA195" s="363" t="s">
        <v>40</v>
      </c>
      <c r="BB195" s="433">
        <f t="shared" si="114"/>
        <v>0</v>
      </c>
      <c r="BC195" s="359"/>
      <c r="BD195" s="451" t="s">
        <v>35</v>
      </c>
      <c r="BE195" s="81">
        <f t="shared" si="111"/>
        <v>0</v>
      </c>
      <c r="BF195" s="30" t="s">
        <v>40</v>
      </c>
      <c r="BG195" s="29">
        <f>IF($A$265=$L$265,"限度超過",Z184-(BB195+BB205+BB215+BB225+BB235+BB245+BB255))</f>
        <v>0</v>
      </c>
      <c r="BH195" s="12"/>
      <c r="BI195" s="30" t="s">
        <v>35</v>
      </c>
      <c r="BJ195" s="29">
        <f t="shared" si="112"/>
        <v>0</v>
      </c>
      <c r="BK195" s="30" t="s">
        <v>40</v>
      </c>
      <c r="BL195" s="29">
        <f>IF($A$265=$L$265,"限度超過",IF(BG195=0,0,BG195/$S$183))</f>
        <v>0</v>
      </c>
      <c r="BM195" s="12"/>
      <c r="BN195" s="30" t="s">
        <v>35</v>
      </c>
      <c r="BO195" s="29">
        <f t="shared" si="113"/>
        <v>0</v>
      </c>
      <c r="BP195" s="30" t="s">
        <v>40</v>
      </c>
      <c r="BQ195" s="460">
        <f>IF($A$265=$L$265,"限度超過",IF($S$183&lt;=1,BG195,BG195-(BQ205+BQ215+BQ225+BQ235+BQ245+BQ255)))</f>
        <v>0</v>
      </c>
      <c r="BR195" s="12"/>
      <c r="BS195" s="12"/>
      <c r="BT195" s="12"/>
      <c r="BU195" s="12"/>
      <c r="BV195" s="12"/>
      <c r="BW195" s="12"/>
      <c r="BX195" s="32" t="s">
        <v>8</v>
      </c>
      <c r="BY195" s="45">
        <f>K186</f>
        <v>0</v>
      </c>
      <c r="BZ195" s="45">
        <f t="shared" ref="BZ195:CB196" si="115">BY195</f>
        <v>0</v>
      </c>
      <c r="CA195" s="45">
        <f t="shared" si="115"/>
        <v>0</v>
      </c>
      <c r="CB195" s="45">
        <f t="shared" si="115"/>
        <v>0</v>
      </c>
      <c r="CC195" s="4"/>
      <c r="CD195" s="4"/>
      <c r="CE195" s="90"/>
      <c r="CF195" s="26"/>
      <c r="CG195" s="26"/>
      <c r="CH195" s="26"/>
      <c r="CI195" s="13"/>
    </row>
    <row r="196" spans="1:87" ht="18.75" customHeight="1">
      <c r="A196" s="1421"/>
      <c r="B196" s="1448"/>
      <c r="C196" s="1376"/>
      <c r="D196" s="855"/>
      <c r="E196" s="1416"/>
      <c r="F196" s="1380"/>
      <c r="G196" s="855"/>
      <c r="H196" s="39">
        <v>100</v>
      </c>
      <c r="I196" s="1277"/>
      <c r="J196" s="855"/>
      <c r="K196" s="55">
        <v>12</v>
      </c>
      <c r="L196" s="12" t="s">
        <v>5</v>
      </c>
      <c r="M196" s="12"/>
      <c r="N196" s="94"/>
      <c r="O196" s="94"/>
      <c r="P196" s="1377"/>
      <c r="Q196" s="1377"/>
      <c r="R196" s="1403"/>
      <c r="S196" s="1408"/>
      <c r="T196" s="72" t="s">
        <v>29</v>
      </c>
      <c r="U196" s="87">
        <f>U194+U195</f>
        <v>0</v>
      </c>
      <c r="V196" s="88" t="s">
        <v>6</v>
      </c>
      <c r="W196" s="30" t="s">
        <v>36</v>
      </c>
      <c r="X196" s="29">
        <f t="shared" si="109"/>
        <v>0</v>
      </c>
      <c r="Y196" s="30" t="s">
        <v>41</v>
      </c>
      <c r="Z196" s="31">
        <f>IF($AH$13&gt;0,0,IF($AG$2&gt;0,"限度超過",Z185-(Z206+Z216+Z226+Z236+Z246+Z256)))</f>
        <v>0</v>
      </c>
      <c r="AA196" s="4"/>
      <c r="AB196" s="4"/>
      <c r="AC196" s="492"/>
      <c r="AD196" s="4"/>
      <c r="AE196" s="74"/>
      <c r="AF196" s="1360"/>
      <c r="AG196" s="26"/>
      <c r="AH196" s="26"/>
      <c r="AI196" s="173"/>
      <c r="AJ196" s="28" t="s">
        <v>36</v>
      </c>
      <c r="AK196" s="29">
        <f t="shared" si="110"/>
        <v>0</v>
      </c>
      <c r="AL196" s="478" t="s">
        <v>41</v>
      </c>
      <c r="AM196" s="479">
        <f>IF($AG$2&gt;0,0,Z196+Z206+Z216+Z226+Z236+Z246+Z256)</f>
        <v>0</v>
      </c>
      <c r="AN196" s="387"/>
      <c r="AO196" s="364" t="s">
        <v>36</v>
      </c>
      <c r="AP196" s="390">
        <f>ROUND(AP18*AQ193,0)</f>
        <v>0</v>
      </c>
      <c r="AQ196" s="363" t="s">
        <v>41</v>
      </c>
      <c r="AR196" s="391">
        <f>ROUND(AR18*AQ193,0)</f>
        <v>0</v>
      </c>
      <c r="AS196" s="387"/>
      <c r="AT196" s="364" t="s">
        <v>36</v>
      </c>
      <c r="AU196" s="390">
        <f>IF(AV193=0,0,IF(AV193&gt;=8,1,IF(AV193&lt;=-8,-1,0)))</f>
        <v>0</v>
      </c>
      <c r="AV196" s="392" t="s">
        <v>41</v>
      </c>
      <c r="AW196" s="391">
        <f>IF(AV193=0,0,IF(AV193&gt;=2,1,IF(AV193&lt;=-2,-1,0)))</f>
        <v>0</v>
      </c>
      <c r="AX196" s="359"/>
      <c r="AY196" s="434" t="s">
        <v>36</v>
      </c>
      <c r="AZ196" s="362">
        <f t="shared" si="114"/>
        <v>0</v>
      </c>
      <c r="BA196" s="363" t="s">
        <v>41</v>
      </c>
      <c r="BB196" s="433">
        <f t="shared" si="114"/>
        <v>0</v>
      </c>
      <c r="BC196" s="359"/>
      <c r="BD196" s="451" t="s">
        <v>36</v>
      </c>
      <c r="BE196" s="81">
        <f t="shared" si="111"/>
        <v>0</v>
      </c>
      <c r="BF196" s="30" t="s">
        <v>41</v>
      </c>
      <c r="BG196" s="29">
        <f>IF($A$265=$L$265,"限度超過",Z185-(BB196+BB206+BB216+BB226+BB236+BB246+BB256))</f>
        <v>0</v>
      </c>
      <c r="BH196" s="12"/>
      <c r="BI196" s="30" t="s">
        <v>36</v>
      </c>
      <c r="BJ196" s="29">
        <f t="shared" si="112"/>
        <v>0</v>
      </c>
      <c r="BK196" s="30" t="s">
        <v>41</v>
      </c>
      <c r="BL196" s="29">
        <f>IF($A$265=$L$265,"限度超過",IF(BG196=0,0,BG196/$S$183))</f>
        <v>0</v>
      </c>
      <c r="BM196" s="12"/>
      <c r="BN196" s="30" t="s">
        <v>36</v>
      </c>
      <c r="BO196" s="29">
        <f t="shared" si="113"/>
        <v>0</v>
      </c>
      <c r="BP196" s="30" t="s">
        <v>41</v>
      </c>
      <c r="BQ196" s="460">
        <f>IF($A$265=$L$265,"限度超過",IF($S$183&lt;=1,BG196,BG196-(BQ206+BQ216+BQ226+BQ236+BQ246+BQ256)))</f>
        <v>0</v>
      </c>
      <c r="BR196" s="12"/>
      <c r="BS196" s="12"/>
      <c r="BT196" s="12"/>
      <c r="BU196" s="12"/>
      <c r="BV196" s="12"/>
      <c r="BW196" s="12"/>
      <c r="BX196" s="32" t="s">
        <v>25</v>
      </c>
      <c r="BY196" s="45">
        <f>K187</f>
        <v>12</v>
      </c>
      <c r="BZ196" s="45">
        <f t="shared" si="115"/>
        <v>12</v>
      </c>
      <c r="CA196" s="45">
        <f t="shared" si="115"/>
        <v>12</v>
      </c>
      <c r="CB196" s="45">
        <f t="shared" si="115"/>
        <v>12</v>
      </c>
      <c r="CC196" s="4"/>
      <c r="CD196" s="4"/>
      <c r="CE196" s="90"/>
      <c r="CF196" s="4"/>
      <c r="CG196" s="4"/>
      <c r="CH196" s="4"/>
      <c r="CI196" s="13"/>
    </row>
    <row r="197" spans="1:87" ht="18.75" customHeight="1">
      <c r="A197" s="165"/>
      <c r="B197" s="12"/>
      <c r="C197" s="50"/>
      <c r="D197" s="12"/>
      <c r="E197" s="12"/>
      <c r="F197" s="12"/>
      <c r="G197" s="12"/>
      <c r="H197" s="91"/>
      <c r="I197" s="75"/>
      <c r="J197" s="75"/>
      <c r="K197" s="92"/>
      <c r="L197" s="75"/>
      <c r="M197" s="93"/>
      <c r="N197" s="94"/>
      <c r="O197" s="42">
        <f>IF(H198=0,0,$D$183)</f>
        <v>0</v>
      </c>
      <c r="P197" s="466">
        <f>IF(O198=0,0,"軽減額")</f>
        <v>0</v>
      </c>
      <c r="Q197" s="12"/>
      <c r="R197" s="95"/>
      <c r="S197" s="49"/>
      <c r="T197" s="96" t="s">
        <v>31</v>
      </c>
      <c r="U197" s="87">
        <f>ROUNDDOWN(U196,-2)</f>
        <v>0</v>
      </c>
      <c r="V197" s="88" t="s">
        <v>6</v>
      </c>
      <c r="W197" s="30" t="s">
        <v>43</v>
      </c>
      <c r="X197" s="29">
        <f t="shared" si="109"/>
        <v>0</v>
      </c>
      <c r="Y197" s="30" t="s">
        <v>42</v>
      </c>
      <c r="Z197" s="31">
        <f>IF($AH$13&gt;0,0,IF($AG$2&gt;0,"限度超過",Z186-(Z207+Z217+Z227+Z237+Z247+Z257)))</f>
        <v>0</v>
      </c>
      <c r="AC197" s="492"/>
      <c r="AD197" s="4"/>
      <c r="AE197" s="500" t="str">
        <f>IF($AH$13&gt;0,"－",IF($AG$2&gt;0,"限度超過",IF(U198=Z198,"OK","ｱﾝﾏｯﾁ")))</f>
        <v>OK</v>
      </c>
      <c r="AF197" s="499"/>
      <c r="AG197" s="26"/>
      <c r="AI197" s="173"/>
      <c r="AJ197" s="28" t="s">
        <v>43</v>
      </c>
      <c r="AK197" s="29">
        <f t="shared" si="110"/>
        <v>0</v>
      </c>
      <c r="AL197" s="478" t="s">
        <v>42</v>
      </c>
      <c r="AM197" s="479">
        <f>IF($AG$2&gt;0,0,Z197+Z207+Z217+Z227+Z237+Z247+Z257)</f>
        <v>0</v>
      </c>
      <c r="AN197" s="387"/>
      <c r="AO197" s="364" t="s">
        <v>43</v>
      </c>
      <c r="AP197" s="390">
        <f>ROUND(AP19*AQ193,0)</f>
        <v>0</v>
      </c>
      <c r="AQ197" s="363" t="s">
        <v>42</v>
      </c>
      <c r="AR197" s="391">
        <f>ROUND(AR19*AQ193,0)</f>
        <v>0</v>
      </c>
      <c r="AS197" s="387"/>
      <c r="AT197" s="364" t="s">
        <v>43</v>
      </c>
      <c r="AU197" s="390">
        <f>IF(AV193=0,0,IF(AV193&gt;=7,1,IF(AV193&lt;=-7,-1,0)))</f>
        <v>0</v>
      </c>
      <c r="AV197" s="392" t="s">
        <v>42</v>
      </c>
      <c r="AW197" s="391">
        <f>IF(AV193=0,0,IF(AV193&gt;=1,1,IF(AV193&lt;=-1,-1,0)))</f>
        <v>0</v>
      </c>
      <c r="AX197" s="359"/>
      <c r="AY197" s="434" t="s">
        <v>43</v>
      </c>
      <c r="AZ197" s="362">
        <f t="shared" si="114"/>
        <v>0</v>
      </c>
      <c r="BA197" s="363" t="s">
        <v>42</v>
      </c>
      <c r="BB197" s="433">
        <f t="shared" si="114"/>
        <v>0</v>
      </c>
      <c r="BC197" s="359"/>
      <c r="BD197" s="451" t="s">
        <v>43</v>
      </c>
      <c r="BE197" s="81">
        <f t="shared" si="111"/>
        <v>0</v>
      </c>
      <c r="BF197" s="30" t="s">
        <v>42</v>
      </c>
      <c r="BG197" s="29">
        <f>IF($A$265=$L$265,"限度超過",Z186-(BB197+BB207+BB217+BB227+BB237+BB247+BB257))</f>
        <v>0</v>
      </c>
      <c r="BH197" s="12"/>
      <c r="BI197" s="30" t="s">
        <v>43</v>
      </c>
      <c r="BJ197" s="29">
        <f t="shared" si="112"/>
        <v>0</v>
      </c>
      <c r="BK197" s="30" t="s">
        <v>42</v>
      </c>
      <c r="BL197" s="29">
        <f>IF($A$265=$L$265,"限度超過",IF(BG197=0,0,BG197/$S$183))</f>
        <v>0</v>
      </c>
      <c r="BM197" s="12"/>
      <c r="BN197" s="30" t="s">
        <v>43</v>
      </c>
      <c r="BO197" s="29">
        <f t="shared" si="113"/>
        <v>0</v>
      </c>
      <c r="BP197" s="30" t="s">
        <v>42</v>
      </c>
      <c r="BQ197" s="460">
        <f>IF($A$265=$L$265,"限度超過",IF($S$183&lt;=1,BG197,BG197-(BQ207+BQ217+BQ227+BQ237+BQ247+BQ257)))</f>
        <v>0</v>
      </c>
      <c r="BR197" s="12"/>
      <c r="BS197" s="12"/>
      <c r="BT197" s="12"/>
      <c r="BU197" s="12"/>
      <c r="BV197" s="12"/>
      <c r="BW197" s="12"/>
      <c r="BX197" s="67" t="s">
        <v>27</v>
      </c>
      <c r="BY197" s="44">
        <v>0</v>
      </c>
      <c r="BZ197" s="45">
        <f>ROUNDDOWN(BZ194*BZ195/BZ196,0)</f>
        <v>0</v>
      </c>
      <c r="CA197" s="45">
        <f>ROUNDDOWN(CA194*CA195/CA196,0)</f>
        <v>0</v>
      </c>
      <c r="CB197" s="45">
        <f>ROUNDDOWN(CB194*CB195/CB196,0)</f>
        <v>0</v>
      </c>
      <c r="CC197" s="4"/>
      <c r="CD197" s="74"/>
      <c r="CE197" s="90"/>
      <c r="CF197" s="4"/>
      <c r="CG197" s="4"/>
      <c r="CH197" s="4"/>
      <c r="CI197" s="13"/>
    </row>
    <row r="198" spans="1:87" ht="18.75" customHeight="1">
      <c r="A198" s="1421" t="s">
        <v>10</v>
      </c>
      <c r="B198" s="12"/>
      <c r="C198" s="12"/>
      <c r="D198" s="1419" t="s">
        <v>7</v>
      </c>
      <c r="E198" s="1416">
        <f>IF(H198&gt;0,$CE$186,0)</f>
        <v>0</v>
      </c>
      <c r="F198" s="97"/>
      <c r="G198" s="855" t="s">
        <v>59</v>
      </c>
      <c r="H198" s="1413">
        <f>IF(B193=0,0,SUBTOTAL(3,B193))</f>
        <v>0</v>
      </c>
      <c r="I198" s="1277" t="s">
        <v>22</v>
      </c>
      <c r="J198" s="855" t="s">
        <v>59</v>
      </c>
      <c r="K198" s="51">
        <f>IF(H198&gt;0,K195,0)</f>
        <v>0</v>
      </c>
      <c r="L198" s="52" t="s">
        <v>5</v>
      </c>
      <c r="M198" s="1407" t="s">
        <v>122</v>
      </c>
      <c r="N198" s="1402">
        <f>IF(O198=0,0,"―")</f>
        <v>0</v>
      </c>
      <c r="O198" s="1404">
        <f>IF(H198&lt;=0,0,IF($D$183=0,0,IF($D$183=7,BZ208,IF($D$183=5,CA208,IF($D$183=2,CB208,"間違い!")))))</f>
        <v>0</v>
      </c>
      <c r="P198" s="1405"/>
      <c r="Q198" s="1377" t="s">
        <v>130</v>
      </c>
      <c r="R198" s="1403">
        <f>IF(H198&gt;0,IF(K195=0,0,ROUNDDOWN(((E198*H198)*K198/K199)-O198,0)),0)</f>
        <v>0</v>
      </c>
      <c r="S198" s="1408" t="s">
        <v>6</v>
      </c>
      <c r="T198" s="1207" t="s">
        <v>32</v>
      </c>
      <c r="U198" s="1209">
        <f>IF(L265=A265,"限度超過",L265-U208-U218-U228-U238-U248-U258)</f>
        <v>0</v>
      </c>
      <c r="V198" s="1470" t="s">
        <v>6</v>
      </c>
      <c r="W198" s="30" t="s">
        <v>37</v>
      </c>
      <c r="X198" s="29">
        <f t="shared" si="109"/>
        <v>0</v>
      </c>
      <c r="Y198" s="1199" t="s">
        <v>44</v>
      </c>
      <c r="Z198" s="1394">
        <f>IF($AH$13&gt;0,0,IF($AG$2&gt;0,"限度超過",Z187-(Z208+Z218+Z228+Z238+Z248+Z258)))</f>
        <v>0</v>
      </c>
      <c r="AA198" s="73"/>
      <c r="AB198" s="73"/>
      <c r="AC198" s="225"/>
      <c r="AD198" s="73"/>
      <c r="AE198" s="500" t="str">
        <f>IF($AG$2&gt;0,"限度超過",IF(X194+X195+X196+X197+X198+X199+Z194+Z195+Z196+Z197=Z198,"OK","エラー"))</f>
        <v>OK</v>
      </c>
      <c r="AF198" s="1361">
        <f>IF(H198&gt;0,IF(K195=0,0,ROUNDDOWN((E198*H198)-O198,0)),0)</f>
        <v>0</v>
      </c>
      <c r="AG198" s="26"/>
      <c r="AI198" s="173"/>
      <c r="AJ198" s="28" t="s">
        <v>37</v>
      </c>
      <c r="AK198" s="29">
        <f t="shared" si="110"/>
        <v>0</v>
      </c>
      <c r="AL198" s="1440" t="s">
        <v>44</v>
      </c>
      <c r="AM198" s="1442">
        <f>AK194+AK195+AK196+AK197+AK198+AK199+AM194+AM195+AM196+AM197</f>
        <v>0</v>
      </c>
      <c r="AN198" s="387"/>
      <c r="AO198" s="364" t="s">
        <v>37</v>
      </c>
      <c r="AP198" s="390">
        <f>ROUND(AP20*AQ193,0)</f>
        <v>0</v>
      </c>
      <c r="AQ198" s="365" t="s">
        <v>44</v>
      </c>
      <c r="AR198" s="366">
        <f>AP194+AP195+AP196+AP197+AP198+AP199+AR194+AR195+AR196+AR197</f>
        <v>0</v>
      </c>
      <c r="AS198" s="387"/>
      <c r="AT198" s="364" t="s">
        <v>37</v>
      </c>
      <c r="AU198" s="390">
        <f>IF(AV193=0,0,IF(AV193&gt;=6,1,IF(AV193&lt;=-6,-1,0)))</f>
        <v>0</v>
      </c>
      <c r="AV198" s="394" t="s">
        <v>44</v>
      </c>
      <c r="AW198" s="395">
        <f>AU194+AU195+AU196+AU197+AU198+AU199+AW194+AW195+AW196+AW197</f>
        <v>0</v>
      </c>
      <c r="AX198" s="359"/>
      <c r="AY198" s="434" t="s">
        <v>37</v>
      </c>
      <c r="AZ198" s="362">
        <f t="shared" si="114"/>
        <v>0</v>
      </c>
      <c r="BA198" s="365" t="s">
        <v>44</v>
      </c>
      <c r="BB198" s="435">
        <f>IF($AG$2&gt;0,"限度超過",AZ194+AZ195+AZ196+AZ197+AZ198+AZ199+BB194+BB195+BB196+BB197)</f>
        <v>0</v>
      </c>
      <c r="BC198" s="359"/>
      <c r="BD198" s="451" t="s">
        <v>37</v>
      </c>
      <c r="BE198" s="81">
        <f t="shared" si="111"/>
        <v>0</v>
      </c>
      <c r="BF198" s="98" t="s">
        <v>44</v>
      </c>
      <c r="BG198" s="29">
        <f>IF($A$265=$L$265,"限度超過",BE194+BE195+BE196+BE197+BE198+BE199+BG194+BG195+BG196+BG197)</f>
        <v>0</v>
      </c>
      <c r="BH198" s="12"/>
      <c r="BI198" s="30" t="s">
        <v>37</v>
      </c>
      <c r="BJ198" s="29">
        <f t="shared" si="112"/>
        <v>0</v>
      </c>
      <c r="BK198" s="98" t="s">
        <v>44</v>
      </c>
      <c r="BL198" s="29">
        <f>IF($A$265=$L$265,"限度超過",BJ194+BJ195+BJ196+BJ197+BJ198+BJ199+BL194+BL195+BL196+BL197)</f>
        <v>0</v>
      </c>
      <c r="BM198" s="12"/>
      <c r="BN198" s="30" t="s">
        <v>37</v>
      </c>
      <c r="BO198" s="29">
        <f t="shared" si="113"/>
        <v>0</v>
      </c>
      <c r="BP198" s="98" t="s">
        <v>44</v>
      </c>
      <c r="BQ198" s="460">
        <f>IF($A$265=$L$265,"限度超過",BO194+BO195+BO196+BO197+BO198+BO199+BQ194+BQ195+BQ196+BQ197)</f>
        <v>0</v>
      </c>
      <c r="BR198" s="12"/>
      <c r="BS198" s="12"/>
      <c r="BT198" s="12"/>
      <c r="BU198" s="74"/>
      <c r="BV198" s="12"/>
      <c r="BW198" s="12"/>
      <c r="BX198" s="4"/>
      <c r="BY198" s="4"/>
      <c r="BZ198" s="4"/>
      <c r="CA198" s="4"/>
      <c r="CB198" s="4"/>
      <c r="CC198" s="4"/>
      <c r="CD198" s="4"/>
      <c r="CE198" s="4"/>
      <c r="CF198" s="4"/>
      <c r="CG198" s="4"/>
      <c r="CH198" s="4"/>
      <c r="CI198" s="13"/>
    </row>
    <row r="199" spans="1:87" ht="18.75" customHeight="1">
      <c r="A199" s="1421"/>
      <c r="B199" s="12"/>
      <c r="C199" s="12"/>
      <c r="D199" s="1419"/>
      <c r="E199" s="1416"/>
      <c r="F199" s="12"/>
      <c r="G199" s="855"/>
      <c r="H199" s="1413"/>
      <c r="I199" s="1277"/>
      <c r="J199" s="855"/>
      <c r="K199" s="180">
        <f>IF(H198&gt;0,K196,0)</f>
        <v>0</v>
      </c>
      <c r="L199" s="12" t="s">
        <v>5</v>
      </c>
      <c r="M199" s="1407"/>
      <c r="N199" s="1402"/>
      <c r="O199" s="1405"/>
      <c r="P199" s="1405"/>
      <c r="Q199" s="1377"/>
      <c r="R199" s="1403"/>
      <c r="S199" s="1408"/>
      <c r="T199" s="1411"/>
      <c r="U199" s="1255"/>
      <c r="V199" s="1471"/>
      <c r="W199" s="30" t="s">
        <v>38</v>
      </c>
      <c r="X199" s="29">
        <f t="shared" si="109"/>
        <v>0</v>
      </c>
      <c r="Y199" s="1368"/>
      <c r="Z199" s="1395"/>
      <c r="AA199" s="26"/>
      <c r="AB199" s="26"/>
      <c r="AC199" s="494"/>
      <c r="AD199" s="26"/>
      <c r="AE199" s="489"/>
      <c r="AF199" s="1360"/>
      <c r="AG199" s="4"/>
      <c r="AH199" s="4"/>
      <c r="AI199" s="173"/>
      <c r="AJ199" s="65" t="s">
        <v>38</v>
      </c>
      <c r="AK199" s="66">
        <f t="shared" si="110"/>
        <v>0</v>
      </c>
      <c r="AL199" s="1441"/>
      <c r="AM199" s="1443"/>
      <c r="AN199" s="387"/>
      <c r="AO199" s="364" t="s">
        <v>38</v>
      </c>
      <c r="AP199" s="390">
        <f>ROUND(AP21*AQ193,0)</f>
        <v>0</v>
      </c>
      <c r="AQ199" s="363" t="s">
        <v>75</v>
      </c>
      <c r="AR199" s="396">
        <f>U198</f>
        <v>0</v>
      </c>
      <c r="AS199" s="387"/>
      <c r="AT199" s="364" t="s">
        <v>38</v>
      </c>
      <c r="AU199" s="390">
        <f>IF(AV193=0,0,IF(AV193&gt;=5,1,IF(AV193&lt;=-5,-1,0)))</f>
        <v>0</v>
      </c>
      <c r="AV199" s="392"/>
      <c r="AW199" s="397" t="str">
        <f>IF(AU194+AU195+AU196+AU197+AU198+AU199+AW194+AW195+AW196+AW197=AV193,"計算ＯＫ","エラー発生")</f>
        <v>計算ＯＫ</v>
      </c>
      <c r="AX199" s="359"/>
      <c r="AY199" s="434" t="s">
        <v>38</v>
      </c>
      <c r="AZ199" s="362">
        <f t="shared" si="114"/>
        <v>0</v>
      </c>
      <c r="BA199" s="363"/>
      <c r="BB199" s="436">
        <f>IF($AG$2&gt;0,"限度超過",U198)</f>
        <v>0</v>
      </c>
      <c r="BC199" s="359"/>
      <c r="BD199" s="451" t="s">
        <v>38</v>
      </c>
      <c r="BE199" s="81">
        <f t="shared" si="111"/>
        <v>0</v>
      </c>
      <c r="BF199" s="30"/>
      <c r="BG199" s="100"/>
      <c r="BH199" s="12"/>
      <c r="BI199" s="30" t="s">
        <v>38</v>
      </c>
      <c r="BJ199" s="29">
        <f t="shared" si="112"/>
        <v>0</v>
      </c>
      <c r="BK199" s="30"/>
      <c r="BL199" s="100"/>
      <c r="BM199" s="12"/>
      <c r="BN199" s="30" t="s">
        <v>38</v>
      </c>
      <c r="BO199" s="29">
        <f t="shared" si="113"/>
        <v>0</v>
      </c>
      <c r="BP199" s="30"/>
      <c r="BQ199" s="461"/>
      <c r="BR199" s="12"/>
      <c r="BS199" s="12"/>
      <c r="BT199" s="12"/>
      <c r="BU199" s="83"/>
      <c r="BV199" s="12"/>
      <c r="BW199" s="12"/>
      <c r="BX199" s="4"/>
      <c r="BY199" s="4"/>
      <c r="BZ199" s="4"/>
      <c r="CA199" s="4"/>
      <c r="CB199" s="4"/>
      <c r="CC199" s="4"/>
      <c r="CD199" s="4"/>
      <c r="CE199" s="4"/>
      <c r="CF199" s="4"/>
      <c r="CG199" s="4"/>
      <c r="CH199" s="4"/>
      <c r="CI199" s="13"/>
    </row>
    <row r="200" spans="1:87" ht="18.75" customHeight="1">
      <c r="A200" s="202"/>
      <c r="B200" s="75" t="s">
        <v>118</v>
      </c>
      <c r="C200" s="12"/>
      <c r="D200" s="160"/>
      <c r="E200" s="161"/>
      <c r="F200" s="12"/>
      <c r="G200" s="50"/>
      <c r="H200" s="162"/>
      <c r="I200" s="159"/>
      <c r="J200" s="50"/>
      <c r="K200" s="1406" t="s">
        <v>274</v>
      </c>
      <c r="L200" s="1406"/>
      <c r="M200" s="1406"/>
      <c r="N200" s="1406"/>
      <c r="O200" s="1406"/>
      <c r="P200" s="1406"/>
      <c r="Q200" s="156"/>
      <c r="R200" s="157"/>
      <c r="S200" s="49"/>
      <c r="T200" s="50"/>
      <c r="U200" s="1454" t="s">
        <v>275</v>
      </c>
      <c r="V200" s="1454"/>
      <c r="W200" s="1454"/>
      <c r="X200" s="1454"/>
      <c r="Y200" s="1454"/>
      <c r="Z200" s="187"/>
      <c r="AA200" s="26"/>
      <c r="AB200" s="26"/>
      <c r="AC200" s="494"/>
      <c r="AD200" s="26"/>
      <c r="AE200" s="489"/>
      <c r="AF200" s="236"/>
      <c r="AG200" s="234"/>
      <c r="AH200" s="4"/>
      <c r="AI200" s="173"/>
      <c r="AJ200" s="22" t="s">
        <v>34</v>
      </c>
      <c r="AK200" s="480" t="str">
        <f t="shared" ref="AK200:AK205" si="116">IF(X183=AK194,"OK","エラー")</f>
        <v>OK</v>
      </c>
      <c r="AL200" s="24" t="s">
        <v>39</v>
      </c>
      <c r="AM200" s="481" t="str">
        <f>IF(Z183=AM194,"OK","エラー")</f>
        <v>OK</v>
      </c>
      <c r="AN200" s="387"/>
      <c r="AO200" s="367"/>
      <c r="AP200" s="398"/>
      <c r="AQ200" s="368"/>
      <c r="AR200" s="368"/>
      <c r="AS200" s="387"/>
      <c r="AT200" s="387"/>
      <c r="AU200" s="470" t="str">
        <f>IF($AG$184&gt;0,"限度超過","－")</f>
        <v>－</v>
      </c>
      <c r="AV200" s="387"/>
      <c r="AW200" s="387"/>
      <c r="AX200" s="359"/>
      <c r="AY200" s="437"/>
      <c r="AZ200" s="470" t="str">
        <f>IF($AG$2&gt;0,"限度超過","－")</f>
        <v>－</v>
      </c>
      <c r="BA200" s="368"/>
      <c r="BB200" s="469" t="str">
        <f>IF(BB198=BB199,"OK","エラー")</f>
        <v>OK</v>
      </c>
      <c r="BC200" s="359"/>
      <c r="BD200" s="452"/>
      <c r="BF200" s="4" t="s">
        <v>260</v>
      </c>
      <c r="BH200" s="12"/>
      <c r="BM200" s="12"/>
      <c r="BQ200" s="462"/>
      <c r="BR200" s="12"/>
      <c r="BS200" s="12"/>
      <c r="BT200" s="12"/>
      <c r="BU200" s="83"/>
      <c r="BV200" s="12"/>
      <c r="BW200" s="12"/>
      <c r="BX200" s="4"/>
      <c r="BY200" s="4"/>
      <c r="BZ200" s="4"/>
      <c r="CA200" s="4"/>
      <c r="CB200" s="4"/>
      <c r="CC200" s="4"/>
      <c r="CD200" s="4"/>
      <c r="CE200" s="4"/>
      <c r="CF200" s="4"/>
      <c r="CG200" s="4"/>
      <c r="CH200" s="4"/>
      <c r="CI200" s="13"/>
    </row>
    <row r="201" spans="1:87" ht="18.75" customHeight="1">
      <c r="A201" s="58" t="s">
        <v>1</v>
      </c>
      <c r="B201" s="52"/>
      <c r="C201" s="189">
        <f>IF(H198&gt;0,$X$191,0)</f>
        <v>0</v>
      </c>
      <c r="D201" s="203" t="s">
        <v>6</v>
      </c>
      <c r="E201" s="60" t="s">
        <v>131</v>
      </c>
      <c r="F201" s="1204">
        <f>K195</f>
        <v>0</v>
      </c>
      <c r="G201" s="1204"/>
      <c r="H201" s="216" t="s">
        <v>5</v>
      </c>
      <c r="I201" s="1451" t="s">
        <v>273</v>
      </c>
      <c r="J201" s="1451"/>
      <c r="K201" s="1204">
        <f>T188-(K211+K221+K231+K241+K251+K261)</f>
        <v>0</v>
      </c>
      <c r="L201" s="1204"/>
      <c r="M201" s="204" t="s">
        <v>6</v>
      </c>
      <c r="N201" s="204"/>
      <c r="O201" s="205"/>
      <c r="P201" s="205"/>
      <c r="Q201" s="63"/>
      <c r="R201" s="206"/>
      <c r="S201" s="59"/>
      <c r="T201" s="27"/>
      <c r="U201" s="207"/>
      <c r="V201" s="27"/>
      <c r="W201" s="188"/>
      <c r="X201" s="189"/>
      <c r="Y201" s="208"/>
      <c r="Z201" s="163"/>
      <c r="AA201" s="26"/>
      <c r="AB201" s="26"/>
      <c r="AC201" s="494"/>
      <c r="AD201" s="26"/>
      <c r="AE201" s="489"/>
      <c r="AF201" s="237"/>
      <c r="AG201" s="235"/>
      <c r="AH201" s="191"/>
      <c r="AI201" s="174"/>
      <c r="AJ201" s="28" t="s">
        <v>35</v>
      </c>
      <c r="AK201" s="482" t="str">
        <f t="shared" si="116"/>
        <v>OK</v>
      </c>
      <c r="AL201" s="30" t="s">
        <v>40</v>
      </c>
      <c r="AM201" s="483" t="str">
        <f>IF(Z184=AM195,"OK","エラー")</f>
        <v>OK</v>
      </c>
      <c r="AN201" s="389"/>
      <c r="AO201" s="386" t="s">
        <v>236</v>
      </c>
      <c r="AP201" s="1266" t="s">
        <v>223</v>
      </c>
      <c r="AQ201" s="1266"/>
      <c r="AR201" s="1266"/>
      <c r="AS201" s="389"/>
      <c r="AT201" s="1289" t="s">
        <v>236</v>
      </c>
      <c r="AU201" s="1289"/>
      <c r="AV201" s="387"/>
      <c r="AW201" s="387"/>
      <c r="AX201" s="359"/>
      <c r="AY201" s="1288" t="s">
        <v>236</v>
      </c>
      <c r="AZ201" s="1289"/>
      <c r="BA201" s="368"/>
      <c r="BB201" s="439"/>
      <c r="BC201" s="359"/>
      <c r="BD201" s="1276" t="s">
        <v>236</v>
      </c>
      <c r="BE201" s="1274"/>
      <c r="BF201" s="4" t="s">
        <v>261</v>
      </c>
      <c r="BH201" s="12"/>
      <c r="BI201" s="1274" t="s">
        <v>236</v>
      </c>
      <c r="BJ201" s="1274"/>
      <c r="BM201" s="12"/>
      <c r="BN201" s="1274" t="s">
        <v>236</v>
      </c>
      <c r="BO201" s="1274"/>
      <c r="BQ201" s="462"/>
      <c r="BR201" s="12"/>
      <c r="BS201" s="12"/>
      <c r="BT201" s="12"/>
      <c r="BU201" s="83"/>
      <c r="BV201" s="12"/>
      <c r="BW201" s="12"/>
      <c r="BX201" s="4"/>
      <c r="BY201" s="4"/>
      <c r="BZ201" s="4"/>
      <c r="CA201" s="4"/>
      <c r="CB201" s="4"/>
      <c r="CC201" s="4"/>
      <c r="CD201" s="4"/>
      <c r="CE201" s="4"/>
      <c r="CF201" s="4"/>
      <c r="CG201" s="4"/>
      <c r="CH201" s="4"/>
      <c r="CI201" s="13"/>
    </row>
    <row r="202" spans="1:87" ht="18.75" customHeight="1">
      <c r="D202" s="101"/>
      <c r="E202" s="70"/>
      <c r="G202" s="9"/>
      <c r="H202" s="102"/>
      <c r="I202" s="5"/>
      <c r="J202" s="9"/>
      <c r="K202" s="18"/>
      <c r="M202" s="103"/>
      <c r="P202" s="103"/>
      <c r="Q202" s="70"/>
      <c r="R202" s="104"/>
      <c r="S202" s="68"/>
      <c r="T202" s="68"/>
      <c r="U202" s="68"/>
      <c r="AA202" s="26"/>
      <c r="AB202" s="26"/>
      <c r="AC202" s="494"/>
      <c r="AD202" s="26"/>
      <c r="AE202" s="489"/>
      <c r="AF202" s="233"/>
      <c r="AG202" s="26"/>
      <c r="AH202" s="26"/>
      <c r="AI202" s="174"/>
      <c r="AJ202" s="28" t="s">
        <v>36</v>
      </c>
      <c r="AK202" s="482" t="str">
        <f t="shared" si="116"/>
        <v>OK</v>
      </c>
      <c r="AL202" s="30" t="s">
        <v>41</v>
      </c>
      <c r="AM202" s="483" t="str">
        <f>IF(Z185=AM196,"OK","エラー")</f>
        <v>OK</v>
      </c>
      <c r="AN202" s="389"/>
      <c r="AO202" s="371" t="s">
        <v>219</v>
      </c>
      <c r="AP202" s="360"/>
      <c r="AQ202" s="399"/>
      <c r="AR202" s="399"/>
      <c r="AS202" s="389"/>
      <c r="AT202" s="1301" t="s">
        <v>220</v>
      </c>
      <c r="AU202" s="1301"/>
      <c r="AV202" s="1301"/>
      <c r="AW202" s="1301"/>
      <c r="AX202" s="359"/>
      <c r="AY202" s="431" t="s">
        <v>226</v>
      </c>
      <c r="AZ202" s="1281" t="s">
        <v>225</v>
      </c>
      <c r="BA202" s="1281"/>
      <c r="BB202" s="1282"/>
      <c r="BC202" s="359"/>
      <c r="BD202" s="1267" t="s">
        <v>264</v>
      </c>
      <c r="BE202" s="1268"/>
      <c r="BF202" s="1268"/>
      <c r="BG202" s="1268"/>
      <c r="BH202" s="12"/>
      <c r="BI202" s="440" t="s">
        <v>265</v>
      </c>
      <c r="BJ202" s="1269" t="s">
        <v>263</v>
      </c>
      <c r="BK202" s="1269"/>
      <c r="BL202" s="1269"/>
      <c r="BM202" s="12"/>
      <c r="BN202" s="12"/>
      <c r="BO202" s="143" t="s">
        <v>266</v>
      </c>
      <c r="BP202" s="12" t="s">
        <v>88</v>
      </c>
      <c r="BQ202" s="449"/>
      <c r="BR202" s="12"/>
      <c r="BS202" s="12"/>
      <c r="BT202" s="12"/>
      <c r="BU202" s="83"/>
      <c r="BV202" s="74"/>
      <c r="BW202" s="12"/>
      <c r="BX202" s="4"/>
      <c r="BY202" s="4"/>
      <c r="BZ202" s="4"/>
      <c r="CA202" s="4"/>
      <c r="CB202" s="4"/>
      <c r="CC202" s="4"/>
      <c r="CD202" s="4"/>
      <c r="CE202" s="4"/>
      <c r="CF202" s="4"/>
      <c r="CG202" s="4"/>
      <c r="CH202" s="4"/>
      <c r="CI202" s="13"/>
    </row>
    <row r="203" spans="1:87" ht="18.75" customHeight="1">
      <c r="A203" s="196" t="s">
        <v>52</v>
      </c>
      <c r="B203" s="1382">
        <f>IF(I203=1,B25,0)</f>
        <v>0</v>
      </c>
      <c r="C203" s="1382"/>
      <c r="D203" s="1382"/>
      <c r="E203" s="198" t="s">
        <v>11</v>
      </c>
      <c r="F203" s="1412" t="s">
        <v>57</v>
      </c>
      <c r="G203" s="1412"/>
      <c r="H203" s="1412"/>
      <c r="I203" s="1449">
        <f>IF(I25=1,1,0)</f>
        <v>0</v>
      </c>
      <c r="J203" s="1450"/>
      <c r="K203" s="1373">
        <f>IF($AG$2&gt;0,0,IF((X205+X206+X207+X208+X209+Z204+Z205+Z206+Z207)&lt;0,"＊＊エラー介護該当者は①から入力＊＊",0))</f>
        <v>0</v>
      </c>
      <c r="L203" s="1374"/>
      <c r="M203" s="1374"/>
      <c r="N203" s="1374"/>
      <c r="O203" s="1374"/>
      <c r="P203" s="1374"/>
      <c r="Q203" s="1374"/>
      <c r="R203" s="1374"/>
      <c r="S203" s="1375"/>
      <c r="T203" s="197" t="s">
        <v>47</v>
      </c>
      <c r="U203" s="1383">
        <f>IF(U208&gt;0,"介護分",0)</f>
        <v>0</v>
      </c>
      <c r="V203" s="1384"/>
      <c r="W203" s="1385" t="s">
        <v>46</v>
      </c>
      <c r="X203" s="1164"/>
      <c r="Y203" s="1164"/>
      <c r="Z203" s="1165"/>
      <c r="AA203" s="26"/>
      <c r="AB203" s="26"/>
      <c r="AC203" s="494"/>
      <c r="AD203" s="26"/>
      <c r="AE203" s="489"/>
      <c r="AF203" s="238" t="s">
        <v>117</v>
      </c>
      <c r="AG203" s="26"/>
      <c r="AH203" s="276">
        <f>IF(K205=0,0,IF(K205&lt;12,1,0))</f>
        <v>0</v>
      </c>
      <c r="AI203" s="175"/>
      <c r="AJ203" s="28" t="s">
        <v>43</v>
      </c>
      <c r="AK203" s="482" t="str">
        <f t="shared" si="116"/>
        <v>OK</v>
      </c>
      <c r="AL203" s="30" t="s">
        <v>42</v>
      </c>
      <c r="AM203" s="483" t="str">
        <f>IF(Z186=AM197,"OK","エラー")</f>
        <v>OK</v>
      </c>
      <c r="AN203" s="400" t="s">
        <v>145</v>
      </c>
      <c r="AO203" s="1320" t="s">
        <v>46</v>
      </c>
      <c r="AP203" s="1287"/>
      <c r="AQ203" s="1396">
        <f>IF(AR30=0,0,ROUNDDOWN(AR209/AR30,8))</f>
        <v>0</v>
      </c>
      <c r="AR203" s="1397"/>
      <c r="AS203" s="393"/>
      <c r="AT203" s="1320" t="s">
        <v>215</v>
      </c>
      <c r="AU203" s="1287"/>
      <c r="AV203" s="1284">
        <f>IF($AG$184&gt;0,0,AR209-AR208)</f>
        <v>0</v>
      </c>
      <c r="AW203" s="1285"/>
      <c r="AX203" s="359"/>
      <c r="AY203" s="1286" t="s">
        <v>46</v>
      </c>
      <c r="AZ203" s="1287"/>
      <c r="BA203" s="1456">
        <f>IF(R205+R208=0,0,IF(K206&gt;K205,"期割がアンマッチ使用禁止↓",0))</f>
        <v>0</v>
      </c>
      <c r="BB203" s="1457"/>
      <c r="BC203" s="359"/>
      <c r="BD203" s="1272" t="s">
        <v>46</v>
      </c>
      <c r="BE203" s="1273"/>
      <c r="BF203" s="1270"/>
      <c r="BG203" s="1271"/>
      <c r="BH203" s="12"/>
      <c r="BI203" s="1139" t="s">
        <v>46</v>
      </c>
      <c r="BJ203" s="1273"/>
      <c r="BK203" s="1270"/>
      <c r="BL203" s="1271"/>
      <c r="BM203" s="12"/>
      <c r="BN203" s="1139" t="s">
        <v>46</v>
      </c>
      <c r="BO203" s="1273"/>
      <c r="BP203" s="1270"/>
      <c r="BQ203" s="1278"/>
      <c r="BR203" s="12"/>
      <c r="BS203" s="12"/>
      <c r="BT203" s="12"/>
      <c r="BU203" s="83"/>
      <c r="BV203" s="83"/>
      <c r="BW203" s="12"/>
      <c r="BX203" s="32"/>
      <c r="BY203" s="33" t="str">
        <f>CE184</f>
        <v>料率</v>
      </c>
      <c r="BZ203" s="33">
        <f>CF184</f>
        <v>7</v>
      </c>
      <c r="CA203" s="33">
        <f>CG184</f>
        <v>5</v>
      </c>
      <c r="CB203" s="33">
        <f>CH184</f>
        <v>2</v>
      </c>
      <c r="CC203" s="4"/>
      <c r="CD203" s="4"/>
      <c r="CE203" s="4"/>
      <c r="CF203" s="4"/>
      <c r="CG203" s="4"/>
      <c r="CH203" s="4"/>
      <c r="CI203" s="13"/>
    </row>
    <row r="204" spans="1:87" ht="18.75" customHeight="1">
      <c r="A204" s="165"/>
      <c r="B204" s="12"/>
      <c r="C204" s="75" t="s">
        <v>33</v>
      </c>
      <c r="D204" s="12"/>
      <c r="E204" s="12"/>
      <c r="F204" s="12"/>
      <c r="G204" s="12"/>
      <c r="H204" s="50"/>
      <c r="I204" s="93"/>
      <c r="J204" s="12"/>
      <c r="K204" s="76" t="s">
        <v>9</v>
      </c>
      <c r="L204" s="12"/>
      <c r="M204" s="1409">
        <f>IF(R205+R208=0, 0, IF(K206=K205,0,IF(K206&gt;K205,"年度途中で資格変動有？保険料内訳のみ使用可能",0)))</f>
        <v>0</v>
      </c>
      <c r="N204" s="1409"/>
      <c r="O204" s="1409"/>
      <c r="P204" s="1409"/>
      <c r="Q204" s="1409"/>
      <c r="R204" s="1409"/>
      <c r="S204" s="1410"/>
      <c r="T204" s="72" t="s">
        <v>30</v>
      </c>
      <c r="U204" s="105">
        <f>R205+R208</f>
        <v>0</v>
      </c>
      <c r="V204" s="88" t="s">
        <v>6</v>
      </c>
      <c r="W204" s="80" t="s">
        <v>34</v>
      </c>
      <c r="X204" s="29">
        <f t="shared" ref="X204:X209" si="117">IF($AH$13&gt;0,0,AZ204)</f>
        <v>0</v>
      </c>
      <c r="Y204" s="80" t="s">
        <v>39</v>
      </c>
      <c r="Z204" s="31">
        <f>IF($AH$13&gt;0,0,BB204)</f>
        <v>0</v>
      </c>
      <c r="AA204" s="4"/>
      <c r="AB204" s="4"/>
      <c r="AC204" s="492"/>
      <c r="AD204" s="4"/>
      <c r="AE204" s="74"/>
      <c r="AF204" s="219">
        <f>AF205+AF208+AF211</f>
        <v>0</v>
      </c>
      <c r="AG204" s="26"/>
      <c r="AH204" s="26"/>
      <c r="AI204" s="173"/>
      <c r="AJ204" s="28" t="s">
        <v>37</v>
      </c>
      <c r="AK204" s="482" t="str">
        <f t="shared" si="116"/>
        <v>OK</v>
      </c>
      <c r="AL204" s="1139" t="s">
        <v>44</v>
      </c>
      <c r="AM204" s="1452" t="str">
        <f>IF(Z187=AM198,"OK","エラー")</f>
        <v>OK</v>
      </c>
      <c r="AN204" s="387"/>
      <c r="AO204" s="361" t="s">
        <v>34</v>
      </c>
      <c r="AP204" s="390">
        <f>ROUND(AP26*AQ203,0)</f>
        <v>0</v>
      </c>
      <c r="AQ204" s="363" t="s">
        <v>39</v>
      </c>
      <c r="AR204" s="391">
        <f>ROUND(AR26*AQ203,0)</f>
        <v>0</v>
      </c>
      <c r="AS204" s="387"/>
      <c r="AT204" s="364" t="s">
        <v>34</v>
      </c>
      <c r="AU204" s="390">
        <f>IF(AV203=0,0,IF(AV203&gt;=10,1,IF(AV203&lt;=-10,-1,0)))</f>
        <v>0</v>
      </c>
      <c r="AV204" s="392" t="s">
        <v>39</v>
      </c>
      <c r="AW204" s="391">
        <f>IF(AV203=0,0,IF(AV203&gt;=4,1,IF(AV203&lt;=-4,-1,0)))</f>
        <v>0</v>
      </c>
      <c r="AX204" s="359"/>
      <c r="AY204" s="432" t="s">
        <v>34</v>
      </c>
      <c r="AZ204" s="362">
        <f t="shared" ref="AZ204:AZ209" si="118">IF($AG$2&gt;0,"限度超過",AP204+AU204)</f>
        <v>0</v>
      </c>
      <c r="BA204" s="363" t="s">
        <v>39</v>
      </c>
      <c r="BB204" s="433">
        <f>IF($AG$2&gt;0,"限度超過",AR204+AW204)</f>
        <v>0</v>
      </c>
      <c r="BC204" s="359"/>
      <c r="BD204" s="451" t="s">
        <v>34</v>
      </c>
      <c r="BE204" s="81">
        <f t="shared" ref="BE204:BE209" si="119">BE194</f>
        <v>0</v>
      </c>
      <c r="BF204" s="82" t="s">
        <v>39</v>
      </c>
      <c r="BG204" s="29">
        <f>BG194</f>
        <v>0</v>
      </c>
      <c r="BH204" s="12"/>
      <c r="BI204" s="80" t="s">
        <v>34</v>
      </c>
      <c r="BJ204" s="29">
        <f t="shared" ref="BJ204:BJ209" si="120">IF($A$265=$L$265,"限度超過",IF(BE204=0,0,BE204/$S$183))</f>
        <v>0</v>
      </c>
      <c r="BK204" s="80" t="s">
        <v>39</v>
      </c>
      <c r="BL204" s="29">
        <f>IF($A$265=$L$265,"限度超過",IF(BG204=0,0,BG204/$S$183))</f>
        <v>0</v>
      </c>
      <c r="BM204" s="12"/>
      <c r="BN204" s="30" t="s">
        <v>34</v>
      </c>
      <c r="BO204" s="29">
        <f t="shared" ref="BO204:BO209" si="121">IF($A$265=$L$265,"限度超過",IF($S$183&lt;=1,0,BJ204))</f>
        <v>0</v>
      </c>
      <c r="BP204" s="80" t="s">
        <v>39</v>
      </c>
      <c r="BQ204" s="460">
        <f>IF($A$265=$L$265,"限度超過",IF($S$183&lt;=1,0,BL204))</f>
        <v>0</v>
      </c>
      <c r="BR204" s="12"/>
      <c r="BS204" s="12"/>
      <c r="BT204" s="12"/>
      <c r="BU204" s="83"/>
      <c r="BV204" s="83"/>
      <c r="BW204" s="12"/>
      <c r="BX204" s="32" t="s">
        <v>17</v>
      </c>
      <c r="BY204" s="44">
        <v>0</v>
      </c>
      <c r="BZ204" s="45">
        <f>$CF$186</f>
        <v>5440</v>
      </c>
      <c r="CA204" s="45">
        <f>$CG$186</f>
        <v>3880</v>
      </c>
      <c r="CB204" s="45">
        <f>$CH$186</f>
        <v>1560</v>
      </c>
      <c r="CC204" s="4"/>
      <c r="CD204" s="4"/>
      <c r="CE204" s="4"/>
      <c r="CF204" s="4"/>
      <c r="CG204" s="4"/>
      <c r="CH204" s="4"/>
      <c r="CI204" s="13"/>
    </row>
    <row r="205" spans="1:87" ht="18.75" customHeight="1">
      <c r="A205" s="1421" t="s">
        <v>0</v>
      </c>
      <c r="B205" s="1448" t="s">
        <v>129</v>
      </c>
      <c r="C205" s="1376">
        <f>IF(K205&gt;0,C27,0)</f>
        <v>0</v>
      </c>
      <c r="D205" s="855" t="s">
        <v>58</v>
      </c>
      <c r="E205" s="1416">
        <f>IF(H208&gt;0,$CE$189, 0)</f>
        <v>0</v>
      </c>
      <c r="F205" s="1380" t="s">
        <v>22</v>
      </c>
      <c r="G205" s="855" t="s">
        <v>59</v>
      </c>
      <c r="H205" s="85">
        <f>IF(H208&gt;0,$CE$185,0)</f>
        <v>0</v>
      </c>
      <c r="I205" s="1277" t="s">
        <v>22</v>
      </c>
      <c r="J205" s="855" t="s">
        <v>59</v>
      </c>
      <c r="K205" s="51">
        <f>入力画面!I20</f>
        <v>0</v>
      </c>
      <c r="L205" s="52" t="s">
        <v>5</v>
      </c>
      <c r="M205" s="1380"/>
      <c r="N205" s="1407"/>
      <c r="O205" s="86"/>
      <c r="P205" s="1377" t="s">
        <v>130</v>
      </c>
      <c r="Q205" s="1377"/>
      <c r="R205" s="1403">
        <f>ROUNDDOWN(IF(((C205-E205)*H205/H206)*K205/K206&lt;0,0,((C205-E205)*H205/H206)*K205/K206),0)</f>
        <v>0</v>
      </c>
      <c r="S205" s="1408" t="s">
        <v>6</v>
      </c>
      <c r="T205" s="72" t="s">
        <v>1</v>
      </c>
      <c r="U205" s="105">
        <f>IF(H208=0,0,K211)</f>
        <v>0</v>
      </c>
      <c r="V205" s="88" t="s">
        <v>6</v>
      </c>
      <c r="W205" s="30" t="s">
        <v>35</v>
      </c>
      <c r="X205" s="29">
        <f t="shared" si="117"/>
        <v>0</v>
      </c>
      <c r="Y205" s="30" t="s">
        <v>40</v>
      </c>
      <c r="Z205" s="31">
        <f>IF($AH$13&gt;0,0,BB205)</f>
        <v>0</v>
      </c>
      <c r="AC205" s="492"/>
      <c r="AD205" s="4"/>
      <c r="AE205" s="74"/>
      <c r="AF205" s="1360">
        <f>ROUNDDOWN(IF(((C205-E205)*H205/H206)&lt;0,0,((C205-E205)*H205/H206)),0)</f>
        <v>0</v>
      </c>
      <c r="AG205" s="26"/>
      <c r="AH205" s="26"/>
      <c r="AI205" s="173"/>
      <c r="AJ205" s="65" t="s">
        <v>38</v>
      </c>
      <c r="AK205" s="484" t="str">
        <f t="shared" si="116"/>
        <v>OK</v>
      </c>
      <c r="AL205" s="1140"/>
      <c r="AM205" s="1453"/>
      <c r="AN205" s="387"/>
      <c r="AO205" s="364" t="s">
        <v>35</v>
      </c>
      <c r="AP205" s="390">
        <f>ROUND(AP27*AQ203,0)</f>
        <v>0</v>
      </c>
      <c r="AQ205" s="363" t="s">
        <v>40</v>
      </c>
      <c r="AR205" s="391">
        <f>ROUND(AR27*AQ203,0)</f>
        <v>0</v>
      </c>
      <c r="AS205" s="387"/>
      <c r="AT205" s="364" t="s">
        <v>35</v>
      </c>
      <c r="AU205" s="390">
        <f>IF(AV203=0,0,IF(AV203&gt;=9,1,IF(AV203&lt;=-9,-1,0)))</f>
        <v>0</v>
      </c>
      <c r="AV205" s="392" t="s">
        <v>40</v>
      </c>
      <c r="AW205" s="391">
        <f>IF(AV203=0,0,IF(AV203&gt;=3,1,IF(AV203&lt;=-3,-1,0)))</f>
        <v>0</v>
      </c>
      <c r="AX205" s="359"/>
      <c r="AY205" s="434" t="s">
        <v>35</v>
      </c>
      <c r="AZ205" s="362">
        <f t="shared" si="118"/>
        <v>0</v>
      </c>
      <c r="BA205" s="363" t="s">
        <v>40</v>
      </c>
      <c r="BB205" s="433">
        <f>IF($AG$2&gt;0,"限度超過",AR205+AW205)</f>
        <v>0</v>
      </c>
      <c r="BC205" s="359"/>
      <c r="BD205" s="451" t="s">
        <v>35</v>
      </c>
      <c r="BE205" s="81">
        <f t="shared" si="119"/>
        <v>0</v>
      </c>
      <c r="BF205" s="82" t="s">
        <v>40</v>
      </c>
      <c r="BG205" s="29">
        <f>BG195</f>
        <v>0</v>
      </c>
      <c r="BH205" s="12"/>
      <c r="BI205" s="30" t="s">
        <v>35</v>
      </c>
      <c r="BJ205" s="29">
        <f t="shared" si="120"/>
        <v>0</v>
      </c>
      <c r="BK205" s="30" t="s">
        <v>40</v>
      </c>
      <c r="BL205" s="29">
        <f>IF($A$265=$L$265,"限度超過",IF(BG205=0,0,BG205/$S$183))</f>
        <v>0</v>
      </c>
      <c r="BM205" s="12"/>
      <c r="BN205" s="30" t="s">
        <v>35</v>
      </c>
      <c r="BO205" s="29">
        <f t="shared" si="121"/>
        <v>0</v>
      </c>
      <c r="BP205" s="30" t="s">
        <v>40</v>
      </c>
      <c r="BQ205" s="460">
        <f>IF($A$265=$L$265,"限度超過",IF($S$183&lt;=1,0,BL205))</f>
        <v>0</v>
      </c>
      <c r="BR205" s="12"/>
      <c r="BS205" s="12"/>
      <c r="BT205" s="12"/>
      <c r="BU205" s="83"/>
      <c r="BV205" s="83"/>
      <c r="BW205" s="12"/>
      <c r="BX205" s="32" t="s">
        <v>8</v>
      </c>
      <c r="BY205" s="45">
        <f>K198</f>
        <v>0</v>
      </c>
      <c r="BZ205" s="45">
        <f t="shared" ref="BZ205:CB207" si="122">BY205</f>
        <v>0</v>
      </c>
      <c r="CA205" s="45">
        <f t="shared" si="122"/>
        <v>0</v>
      </c>
      <c r="CB205" s="45">
        <f t="shared" si="122"/>
        <v>0</v>
      </c>
      <c r="CC205" s="4"/>
      <c r="CD205" s="4"/>
      <c r="CE205" s="4"/>
      <c r="CF205" s="4"/>
      <c r="CG205" s="4"/>
      <c r="CH205" s="4"/>
      <c r="CI205" s="13"/>
    </row>
    <row r="206" spans="1:87" ht="18.75" customHeight="1">
      <c r="A206" s="1421"/>
      <c r="B206" s="1448"/>
      <c r="C206" s="1376"/>
      <c r="D206" s="855"/>
      <c r="E206" s="1416"/>
      <c r="F206" s="1380"/>
      <c r="G206" s="855"/>
      <c r="H206" s="39">
        <v>100</v>
      </c>
      <c r="I206" s="1277"/>
      <c r="J206" s="855"/>
      <c r="K206" s="55">
        <v>12</v>
      </c>
      <c r="L206" s="12" t="s">
        <v>5</v>
      </c>
      <c r="M206" s="1380"/>
      <c r="N206" s="1407"/>
      <c r="O206" s="86"/>
      <c r="P206" s="1377"/>
      <c r="Q206" s="1377"/>
      <c r="R206" s="1403"/>
      <c r="S206" s="1408"/>
      <c r="T206" s="72" t="s">
        <v>29</v>
      </c>
      <c r="U206" s="105">
        <f>U204+U205</f>
        <v>0</v>
      </c>
      <c r="V206" s="88" t="s">
        <v>6</v>
      </c>
      <c r="W206" s="30" t="s">
        <v>36</v>
      </c>
      <c r="X206" s="29">
        <f t="shared" si="117"/>
        <v>0</v>
      </c>
      <c r="Y206" s="30" t="s">
        <v>41</v>
      </c>
      <c r="Z206" s="31">
        <f>IF($AH$13&gt;0,0,BB206)</f>
        <v>0</v>
      </c>
      <c r="AA206" s="73"/>
      <c r="AB206" s="73"/>
      <c r="AC206" s="225"/>
      <c r="AD206" s="73"/>
      <c r="AE206" s="73"/>
      <c r="AF206" s="1360"/>
      <c r="AG206" s="26"/>
      <c r="AH206" s="26"/>
      <c r="AI206" s="173"/>
      <c r="AJ206" s="173"/>
      <c r="AK206" s="173"/>
      <c r="AL206" s="173"/>
      <c r="AM206" s="173"/>
      <c r="AN206" s="387"/>
      <c r="AO206" s="364" t="s">
        <v>36</v>
      </c>
      <c r="AP206" s="390">
        <f>ROUND(AP28*AQ203,0)</f>
        <v>0</v>
      </c>
      <c r="AQ206" s="363" t="s">
        <v>41</v>
      </c>
      <c r="AR206" s="391">
        <f>ROUND(AR28*AQ203,0)</f>
        <v>0</v>
      </c>
      <c r="AS206" s="387"/>
      <c r="AT206" s="364" t="s">
        <v>36</v>
      </c>
      <c r="AU206" s="390">
        <f>IF(AV203=0,0,IF(AV203&gt;=8,1,IF(AV203&lt;=-8,-1,0)))</f>
        <v>0</v>
      </c>
      <c r="AV206" s="392" t="s">
        <v>41</v>
      </c>
      <c r="AW206" s="391">
        <f>IF(AV203=0,0,IF(AV203&gt;=2,1,IF(AV203&lt;=-2,-1,0)))</f>
        <v>0</v>
      </c>
      <c r="AX206" s="359"/>
      <c r="AY206" s="434" t="s">
        <v>36</v>
      </c>
      <c r="AZ206" s="362">
        <f t="shared" si="118"/>
        <v>0</v>
      </c>
      <c r="BA206" s="363" t="s">
        <v>41</v>
      </c>
      <c r="BB206" s="433">
        <f>IF($AG$2&gt;0,"限度超過",AR206+AW206)</f>
        <v>0</v>
      </c>
      <c r="BC206" s="359"/>
      <c r="BD206" s="451" t="s">
        <v>36</v>
      </c>
      <c r="BE206" s="81">
        <f t="shared" si="119"/>
        <v>0</v>
      </c>
      <c r="BF206" s="82" t="s">
        <v>41</v>
      </c>
      <c r="BG206" s="29">
        <f>BG196</f>
        <v>0</v>
      </c>
      <c r="BH206" s="12"/>
      <c r="BI206" s="30" t="s">
        <v>36</v>
      </c>
      <c r="BJ206" s="29">
        <f t="shared" si="120"/>
        <v>0</v>
      </c>
      <c r="BK206" s="30" t="s">
        <v>41</v>
      </c>
      <c r="BL206" s="29">
        <f>IF($A$265=$L$265,"限度超過",IF(BG206=0,0,BG206/$S$183))</f>
        <v>0</v>
      </c>
      <c r="BM206" s="12"/>
      <c r="BN206" s="30" t="s">
        <v>36</v>
      </c>
      <c r="BO206" s="29">
        <f t="shared" si="121"/>
        <v>0</v>
      </c>
      <c r="BP206" s="30" t="s">
        <v>41</v>
      </c>
      <c r="BQ206" s="460">
        <f>IF($A$265=$L$265,"限度超過",IF($S$183&lt;=1,0,BL206))</f>
        <v>0</v>
      </c>
      <c r="BR206" s="12"/>
      <c r="BS206" s="12"/>
      <c r="BT206" s="12"/>
      <c r="BU206" s="4"/>
      <c r="BV206" s="83"/>
      <c r="BW206" s="12"/>
      <c r="BX206" s="32" t="s">
        <v>25</v>
      </c>
      <c r="BY206" s="45">
        <f>K199</f>
        <v>0</v>
      </c>
      <c r="BZ206" s="45">
        <f t="shared" si="122"/>
        <v>0</v>
      </c>
      <c r="CA206" s="45">
        <f t="shared" si="122"/>
        <v>0</v>
      </c>
      <c r="CB206" s="45">
        <f t="shared" si="122"/>
        <v>0</v>
      </c>
      <c r="CC206" s="4"/>
      <c r="CD206" s="4"/>
      <c r="CE206" s="4"/>
      <c r="CF206" s="4"/>
      <c r="CG206" s="4"/>
      <c r="CH206" s="4"/>
      <c r="CI206" s="13"/>
    </row>
    <row r="207" spans="1:87" ht="18.75" customHeight="1">
      <c r="A207" s="165"/>
      <c r="B207" s="12"/>
      <c r="C207" s="50"/>
      <c r="D207" s="12"/>
      <c r="E207" s="12"/>
      <c r="F207" s="12"/>
      <c r="G207" s="12"/>
      <c r="H207" s="91"/>
      <c r="I207" s="75"/>
      <c r="J207" s="75"/>
      <c r="K207" s="92"/>
      <c r="L207" s="75"/>
      <c r="M207" s="93"/>
      <c r="N207" s="94"/>
      <c r="O207" s="42">
        <f>IF(H208=0,0,$D$183)</f>
        <v>0</v>
      </c>
      <c r="P207" s="466">
        <f>IF(O208=0,0,"軽減額")</f>
        <v>0</v>
      </c>
      <c r="Q207" s="12"/>
      <c r="R207" s="95"/>
      <c r="S207" s="49"/>
      <c r="T207" s="96" t="s">
        <v>31</v>
      </c>
      <c r="U207" s="105">
        <f>ROUNDDOWN(U206,-2)</f>
        <v>0</v>
      </c>
      <c r="V207" s="88" t="s">
        <v>6</v>
      </c>
      <c r="W207" s="30" t="s">
        <v>43</v>
      </c>
      <c r="X207" s="29">
        <f t="shared" si="117"/>
        <v>0</v>
      </c>
      <c r="Y207" s="30" t="s">
        <v>42</v>
      </c>
      <c r="Z207" s="31">
        <f>IF($AH$13&gt;0,0,BB207)</f>
        <v>0</v>
      </c>
      <c r="AA207" s="26"/>
      <c r="AB207" s="26"/>
      <c r="AC207" s="494"/>
      <c r="AD207" s="26"/>
      <c r="AE207" s="500" t="str">
        <f>IF($AH$13&gt;0,"－",IF($AG$2&gt;0,"限度超過",IF(U208=Z208,"OK","ｱﾝﾏｯﾁ")))</f>
        <v>OK</v>
      </c>
      <c r="AF207" s="499"/>
      <c r="AG207" s="4"/>
      <c r="AI207" s="173"/>
      <c r="AJ207" s="173"/>
      <c r="AK207" s="173"/>
      <c r="AL207" s="173"/>
      <c r="AM207" s="173"/>
      <c r="AN207" s="387"/>
      <c r="AO207" s="364" t="s">
        <v>43</v>
      </c>
      <c r="AP207" s="390">
        <f>ROUND(AP29*AQ203,0)</f>
        <v>0</v>
      </c>
      <c r="AQ207" s="363" t="s">
        <v>42</v>
      </c>
      <c r="AR207" s="391">
        <f>ROUND(AR29*AQ203,0)</f>
        <v>0</v>
      </c>
      <c r="AS207" s="387"/>
      <c r="AT207" s="364" t="s">
        <v>43</v>
      </c>
      <c r="AU207" s="390">
        <f>IF(AV203=0,0,IF(AV203&gt;=7,1,IF(AV203&lt;=-7,-1,0)))</f>
        <v>0</v>
      </c>
      <c r="AV207" s="392" t="s">
        <v>42</v>
      </c>
      <c r="AW207" s="391">
        <f>IF(AV203=0,0,IF(AV203&gt;=1,1,IF(AV203&lt;=-1,-1,0)))</f>
        <v>0</v>
      </c>
      <c r="AX207" s="359"/>
      <c r="AY207" s="434" t="s">
        <v>43</v>
      </c>
      <c r="AZ207" s="362">
        <f t="shared" si="118"/>
        <v>0</v>
      </c>
      <c r="BA207" s="363" t="s">
        <v>42</v>
      </c>
      <c r="BB207" s="433">
        <f>IF($AG$2&gt;0,"限度超過",AR207+AW207)</f>
        <v>0</v>
      </c>
      <c r="BC207" s="359"/>
      <c r="BD207" s="451" t="s">
        <v>43</v>
      </c>
      <c r="BE207" s="81">
        <f t="shared" si="119"/>
        <v>0</v>
      </c>
      <c r="BF207" s="82" t="s">
        <v>42</v>
      </c>
      <c r="BG207" s="29">
        <f>BG197</f>
        <v>0</v>
      </c>
      <c r="BH207" s="12"/>
      <c r="BI207" s="30" t="s">
        <v>43</v>
      </c>
      <c r="BJ207" s="29">
        <f t="shared" si="120"/>
        <v>0</v>
      </c>
      <c r="BK207" s="30" t="s">
        <v>42</v>
      </c>
      <c r="BL207" s="29">
        <f>IF($A$265=$L$265,"限度超過",IF(BG207=0,0,BG207/$S$183))</f>
        <v>0</v>
      </c>
      <c r="BM207" s="12"/>
      <c r="BN207" s="30" t="s">
        <v>43</v>
      </c>
      <c r="BO207" s="29">
        <f t="shared" si="121"/>
        <v>0</v>
      </c>
      <c r="BP207" s="30" t="s">
        <v>42</v>
      </c>
      <c r="BQ207" s="460">
        <f>IF($A$265=$L$265,"限度超過",IF($S$183&lt;=1,0,BL207))</f>
        <v>0</v>
      </c>
      <c r="BR207" s="12"/>
      <c r="BS207" s="12"/>
      <c r="BT207" s="12"/>
      <c r="BU207" s="12"/>
      <c r="BV207" s="83"/>
      <c r="BW207" s="12"/>
      <c r="BX207" s="32" t="s">
        <v>26</v>
      </c>
      <c r="BY207" s="26">
        <f>H198</f>
        <v>0</v>
      </c>
      <c r="BZ207" s="99">
        <f t="shared" si="122"/>
        <v>0</v>
      </c>
      <c r="CA207" s="99">
        <f t="shared" si="122"/>
        <v>0</v>
      </c>
      <c r="CB207" s="99">
        <f t="shared" si="122"/>
        <v>0</v>
      </c>
      <c r="CC207" s="4"/>
      <c r="CD207" s="4"/>
      <c r="CE207" s="4"/>
      <c r="CF207" s="4"/>
      <c r="CG207" s="4"/>
      <c r="CH207" s="4"/>
      <c r="CI207" s="13"/>
    </row>
    <row r="208" spans="1:87" ht="18.75" customHeight="1">
      <c r="A208" s="1421" t="s">
        <v>10</v>
      </c>
      <c r="B208" s="12"/>
      <c r="C208" s="12"/>
      <c r="D208" s="1419" t="s">
        <v>7</v>
      </c>
      <c r="E208" s="1416">
        <f>IF(H208&gt;0,$CE$186,0)</f>
        <v>0</v>
      </c>
      <c r="F208" s="97"/>
      <c r="G208" s="855" t="s">
        <v>59</v>
      </c>
      <c r="H208" s="1413">
        <f>IF(B203=0,0,SUBTOTAL(3,B203))</f>
        <v>0</v>
      </c>
      <c r="I208" s="1277" t="s">
        <v>22</v>
      </c>
      <c r="J208" s="855" t="s">
        <v>59</v>
      </c>
      <c r="K208" s="51">
        <f>IF(H208&gt;0,K205,0)</f>
        <v>0</v>
      </c>
      <c r="L208" s="52" t="s">
        <v>5</v>
      </c>
      <c r="M208" s="1407" t="s">
        <v>122</v>
      </c>
      <c r="N208" s="1402">
        <f>IF(O208=0,0,"―")</f>
        <v>0</v>
      </c>
      <c r="O208" s="1404">
        <f>IF(H208&lt;=0,0,IF($D$183=0,0,IF($D$183=7,BZ218,IF($D$183=5,CA218,IF($D$183=2,CB218,"間違い!")))))</f>
        <v>0</v>
      </c>
      <c r="P208" s="1405"/>
      <c r="Q208" s="1377" t="s">
        <v>130</v>
      </c>
      <c r="R208" s="1403">
        <f>IF(H208&gt;0,IF(K205=0,0,ROUNDDOWN(((E208*H208)*K208/K209)-O208,0)),0)</f>
        <v>0</v>
      </c>
      <c r="S208" s="1408" t="s">
        <v>6</v>
      </c>
      <c r="T208" s="1388" t="s">
        <v>32</v>
      </c>
      <c r="U208" s="1387">
        <f>IF($L$265=$A$265,"限度超過",U206)</f>
        <v>0</v>
      </c>
      <c r="V208" s="1389" t="s">
        <v>6</v>
      </c>
      <c r="W208" s="30" t="s">
        <v>37</v>
      </c>
      <c r="X208" s="29">
        <f t="shared" si="117"/>
        <v>0</v>
      </c>
      <c r="Y208" s="1199" t="s">
        <v>44</v>
      </c>
      <c r="Z208" s="1394">
        <f>IF($AH$13&gt;0,0,BB208)</f>
        <v>0</v>
      </c>
      <c r="AA208" s="26"/>
      <c r="AB208" s="26"/>
      <c r="AC208" s="494"/>
      <c r="AD208" s="26"/>
      <c r="AE208" s="500" t="str">
        <f>IF($AG$2&gt;0,"限度超過",IF(X204+X205+X206+X207+X208+X209+Z204+Z205+Z206+Z207=Z208,"OK","エラー"))</f>
        <v>OK</v>
      </c>
      <c r="AF208" s="1361">
        <f>IF(H208&gt;0,IF(K205=0,0,ROUNDDOWN((E208*H208)-O208,0)),0)</f>
        <v>0</v>
      </c>
      <c r="AG208" s="4"/>
      <c r="AI208" s="173"/>
      <c r="AJ208" s="173"/>
      <c r="AK208" s="173"/>
      <c r="AL208" s="173"/>
      <c r="AM208" s="173"/>
      <c r="AN208" s="387"/>
      <c r="AO208" s="364" t="s">
        <v>37</v>
      </c>
      <c r="AP208" s="390">
        <f>ROUND(AP30*AQ203,0)</f>
        <v>0</v>
      </c>
      <c r="AQ208" s="365" t="s">
        <v>44</v>
      </c>
      <c r="AR208" s="366">
        <f>AP204+AP205+AP206+AP207+AP208+AP209+AR204+AR205+AR206+AR207</f>
        <v>0</v>
      </c>
      <c r="AS208" s="387"/>
      <c r="AT208" s="364" t="s">
        <v>37</v>
      </c>
      <c r="AU208" s="390">
        <f>IF(AV203=0,0,IF(AV203&gt;=6,1,IF(AV203&lt;=-6,-1,0)))</f>
        <v>0</v>
      </c>
      <c r="AV208" s="394" t="s">
        <v>44</v>
      </c>
      <c r="AW208" s="395">
        <f>AU204+AU205+AU206+AU207+AU208+AU209+AW204+AW205+AW206+AW207</f>
        <v>0</v>
      </c>
      <c r="AX208" s="359"/>
      <c r="AY208" s="434" t="s">
        <v>37</v>
      </c>
      <c r="AZ208" s="362">
        <f t="shared" si="118"/>
        <v>0</v>
      </c>
      <c r="BA208" s="365" t="s">
        <v>44</v>
      </c>
      <c r="BB208" s="435">
        <f>IF($AG$2&gt;0,"限度超過",AZ204+AZ205+AZ206+AZ207+AZ208+AZ209+BB204+BB205+BB206+BB207)</f>
        <v>0</v>
      </c>
      <c r="BC208" s="359"/>
      <c r="BD208" s="451" t="s">
        <v>37</v>
      </c>
      <c r="BE208" s="81">
        <f t="shared" si="119"/>
        <v>0</v>
      </c>
      <c r="BF208" s="443" t="s">
        <v>44</v>
      </c>
      <c r="BG208" s="29">
        <f>IF($A$265=$L$265,"限度超過",BE204+BE205+BE206+BE207+BE208+BE209+BG204+BG205+BG206+BG207)</f>
        <v>0</v>
      </c>
      <c r="BH208" s="12"/>
      <c r="BI208" s="30" t="s">
        <v>37</v>
      </c>
      <c r="BJ208" s="29">
        <f t="shared" si="120"/>
        <v>0</v>
      </c>
      <c r="BK208" s="98" t="s">
        <v>44</v>
      </c>
      <c r="BL208" s="29">
        <f>IF($A$265=$L$265,"限度超過",BJ204+BJ205+BJ206+BJ207+BJ208+BJ209+BL204+BL205+BL206+BL207)</f>
        <v>0</v>
      </c>
      <c r="BM208" s="12"/>
      <c r="BN208" s="30" t="s">
        <v>37</v>
      </c>
      <c r="BO208" s="29">
        <f t="shared" si="121"/>
        <v>0</v>
      </c>
      <c r="BP208" s="98" t="s">
        <v>44</v>
      </c>
      <c r="BQ208" s="460">
        <f>IF($A$265=$L$265,"限度超過",BO204+BO205+BO206+BO207+BO208+BO209+BQ204+BQ205+BQ206+BQ207)</f>
        <v>0</v>
      </c>
      <c r="BR208" s="12"/>
      <c r="BS208" s="12"/>
      <c r="BT208" s="12"/>
      <c r="BU208" s="12"/>
      <c r="BV208" s="4"/>
      <c r="BW208" s="12"/>
      <c r="BX208" s="67" t="s">
        <v>27</v>
      </c>
      <c r="BY208" s="45">
        <f>IF(BY207&gt;0,ROUNDDOWN(BY204*BY207*BY205/BY206,0),0)</f>
        <v>0</v>
      </c>
      <c r="BZ208" s="45">
        <f>IF(BZ207&gt;0,ROUNDDOWN(BZ204*BZ207*BZ205/BZ206,0),0)</f>
        <v>0</v>
      </c>
      <c r="CA208" s="45">
        <f>IF(CA207&gt;0,ROUNDDOWN(CA204*CA207*CA205/CA206,0),0)</f>
        <v>0</v>
      </c>
      <c r="CB208" s="45">
        <f>IF(CB207&gt;0,ROUNDDOWN(CB204*CB207*CB205/CB206,0),0)</f>
        <v>0</v>
      </c>
      <c r="CC208" s="4"/>
      <c r="CD208" s="4"/>
      <c r="CE208" s="4"/>
      <c r="CF208" s="4"/>
      <c r="CG208" s="4"/>
      <c r="CH208" s="4"/>
      <c r="CI208" s="13"/>
    </row>
    <row r="209" spans="1:87" ht="18.75" customHeight="1">
      <c r="A209" s="1421"/>
      <c r="B209" s="12"/>
      <c r="C209" s="12"/>
      <c r="D209" s="1419"/>
      <c r="E209" s="1416"/>
      <c r="F209" s="12"/>
      <c r="G209" s="855"/>
      <c r="H209" s="1413"/>
      <c r="I209" s="1277"/>
      <c r="J209" s="855"/>
      <c r="K209" s="180">
        <f>IF(H208&gt;0,K206,0)</f>
        <v>0</v>
      </c>
      <c r="L209" s="12" t="s">
        <v>5</v>
      </c>
      <c r="M209" s="1407"/>
      <c r="N209" s="1402"/>
      <c r="O209" s="1405"/>
      <c r="P209" s="1405"/>
      <c r="Q209" s="1377"/>
      <c r="R209" s="1403"/>
      <c r="S209" s="1408"/>
      <c r="T209" s="1388"/>
      <c r="U209" s="1387"/>
      <c r="V209" s="1389"/>
      <c r="W209" s="30" t="s">
        <v>38</v>
      </c>
      <c r="X209" s="29">
        <f t="shared" si="117"/>
        <v>0</v>
      </c>
      <c r="Y209" s="1368"/>
      <c r="Z209" s="1395"/>
      <c r="AA209" s="26"/>
      <c r="AB209" s="26"/>
      <c r="AC209" s="494"/>
      <c r="AD209" s="26"/>
      <c r="AE209" s="489"/>
      <c r="AF209" s="1360"/>
      <c r="AG209" s="73"/>
      <c r="AH209" s="191"/>
      <c r="AI209" s="174"/>
      <c r="AJ209" s="174"/>
      <c r="AK209" s="174"/>
      <c r="AL209" s="174"/>
      <c r="AM209" s="174"/>
      <c r="AN209" s="389"/>
      <c r="AO209" s="364" t="s">
        <v>38</v>
      </c>
      <c r="AP209" s="390">
        <f>ROUND(AP31*AQ203,0)</f>
        <v>0</v>
      </c>
      <c r="AQ209" s="363" t="s">
        <v>75</v>
      </c>
      <c r="AR209" s="396">
        <f>U208</f>
        <v>0</v>
      </c>
      <c r="AS209" s="389"/>
      <c r="AT209" s="364" t="s">
        <v>38</v>
      </c>
      <c r="AU209" s="390">
        <f>IF(AV203=0,0,IF(AV203&gt;=5,1,IF(AV203&lt;=-5,-1,0)))</f>
        <v>0</v>
      </c>
      <c r="AV209" s="392"/>
      <c r="AW209" s="397" t="str">
        <f>IF(AU204+AU205+AU206+AU207+AU208+AU209+AW204+AW205+AW206+AW207=AV203,"計算ＯＫ","エラー発生")</f>
        <v>計算ＯＫ</v>
      </c>
      <c r="AX209" s="359"/>
      <c r="AY209" s="434" t="s">
        <v>38</v>
      </c>
      <c r="AZ209" s="362">
        <f t="shared" si="118"/>
        <v>0</v>
      </c>
      <c r="BA209" s="363"/>
      <c r="BB209" s="436">
        <f>IF($AG$2&gt;0,"限度超過",U208)</f>
        <v>0</v>
      </c>
      <c r="BC209" s="359"/>
      <c r="BD209" s="451" t="s">
        <v>38</v>
      </c>
      <c r="BE209" s="81">
        <f t="shared" si="119"/>
        <v>0</v>
      </c>
      <c r="BF209" s="82"/>
      <c r="BG209" s="100"/>
      <c r="BH209" s="12"/>
      <c r="BI209" s="30" t="s">
        <v>38</v>
      </c>
      <c r="BJ209" s="29">
        <f t="shared" si="120"/>
        <v>0</v>
      </c>
      <c r="BK209" s="30"/>
      <c r="BL209" s="100"/>
      <c r="BM209" s="12"/>
      <c r="BN209" s="30" t="s">
        <v>38</v>
      </c>
      <c r="BO209" s="29">
        <f t="shared" si="121"/>
        <v>0</v>
      </c>
      <c r="BP209" s="30"/>
      <c r="BQ209" s="461"/>
      <c r="BR209" s="12"/>
      <c r="BS209" s="12"/>
      <c r="BT209" s="12"/>
      <c r="BU209" s="12"/>
      <c r="BV209" s="12"/>
      <c r="BW209" s="12"/>
      <c r="BX209" s="4"/>
      <c r="BY209" s="4"/>
      <c r="BZ209" s="4"/>
      <c r="CA209" s="4"/>
      <c r="CB209" s="4"/>
      <c r="CC209" s="4"/>
      <c r="CD209" s="4"/>
      <c r="CE209" s="4"/>
      <c r="CF209" s="4"/>
      <c r="CG209" s="4"/>
      <c r="CH209" s="4"/>
      <c r="CI209" s="13"/>
    </row>
    <row r="210" spans="1:87" ht="18.75" customHeight="1">
      <c r="A210" s="202"/>
      <c r="B210" s="75" t="s">
        <v>118</v>
      </c>
      <c r="C210" s="12"/>
      <c r="D210" s="160"/>
      <c r="E210" s="161"/>
      <c r="F210" s="12"/>
      <c r="G210" s="50"/>
      <c r="H210" s="162"/>
      <c r="I210" s="159"/>
      <c r="J210" s="50"/>
      <c r="K210" s="180"/>
      <c r="L210" s="12"/>
      <c r="M210" s="86"/>
      <c r="N210" s="86"/>
      <c r="O210" s="181"/>
      <c r="P210" s="181"/>
      <c r="Q210" s="156"/>
      <c r="R210" s="157"/>
      <c r="S210" s="49"/>
      <c r="T210" s="50"/>
      <c r="U210" s="182"/>
      <c r="V210" s="50"/>
      <c r="W210" s="4"/>
      <c r="X210" s="26"/>
      <c r="Y210" s="170"/>
      <c r="Z210" s="187"/>
      <c r="AA210" s="26"/>
      <c r="AB210" s="26"/>
      <c r="AC210" s="494"/>
      <c r="AD210" s="26"/>
      <c r="AE210" s="489"/>
      <c r="AF210" s="236"/>
      <c r="AG210" s="26"/>
      <c r="AH210" s="26"/>
      <c r="AI210" s="174"/>
      <c r="AJ210" s="174"/>
      <c r="AK210" s="174"/>
      <c r="AL210" s="174"/>
      <c r="AM210" s="174"/>
      <c r="AN210" s="389"/>
      <c r="AO210" s="367"/>
      <c r="AP210" s="398"/>
      <c r="AQ210" s="368"/>
      <c r="AR210" s="368"/>
      <c r="AS210" s="389"/>
      <c r="AT210" s="389"/>
      <c r="AU210" s="389"/>
      <c r="AV210" s="389"/>
      <c r="AW210" s="389"/>
      <c r="AX210" s="359"/>
      <c r="AY210" s="437"/>
      <c r="AZ210" s="470" t="str">
        <f>IF($AG$2&gt;0,"限度超過","－")</f>
        <v>－</v>
      </c>
      <c r="BA210" s="368"/>
      <c r="BB210" s="469" t="str">
        <f>IF(BB208=BB209,"OK","エラー")</f>
        <v>OK</v>
      </c>
      <c r="BC210" s="359"/>
      <c r="BD210" s="452"/>
      <c r="BF210" s="4" t="s">
        <v>260</v>
      </c>
      <c r="BH210" s="12"/>
      <c r="BM210" s="12"/>
      <c r="BQ210" s="462"/>
      <c r="BR210" s="12"/>
      <c r="BS210" s="12"/>
      <c r="BT210" s="12"/>
      <c r="BU210" s="12"/>
      <c r="BV210" s="12"/>
      <c r="BW210" s="12"/>
      <c r="BX210" s="4"/>
      <c r="BY210" s="4"/>
      <c r="BZ210" s="4"/>
      <c r="CA210" s="4"/>
      <c r="CB210" s="4"/>
      <c r="CC210" s="4"/>
      <c r="CD210" s="4"/>
      <c r="CE210" s="4"/>
      <c r="CF210" s="4"/>
      <c r="CG210" s="4"/>
      <c r="CH210" s="4"/>
      <c r="CI210" s="13"/>
    </row>
    <row r="211" spans="1:87" ht="18.75" customHeight="1">
      <c r="A211" s="58" t="s">
        <v>1</v>
      </c>
      <c r="B211" s="52"/>
      <c r="C211" s="189">
        <f>IF(H208&gt;0,$X$191,0)</f>
        <v>0</v>
      </c>
      <c r="D211" s="203" t="s">
        <v>6</v>
      </c>
      <c r="E211" s="60" t="s">
        <v>131</v>
      </c>
      <c r="F211" s="1204">
        <f>K205</f>
        <v>0</v>
      </c>
      <c r="G211" s="1204"/>
      <c r="H211" s="216" t="s">
        <v>5</v>
      </c>
      <c r="I211" s="1451" t="s">
        <v>14</v>
      </c>
      <c r="J211" s="1451"/>
      <c r="K211" s="1204">
        <f>C211*F211</f>
        <v>0</v>
      </c>
      <c r="L211" s="1204"/>
      <c r="M211" s="204" t="s">
        <v>6</v>
      </c>
      <c r="N211" s="204"/>
      <c r="O211" s="205"/>
      <c r="P211" s="205"/>
      <c r="Q211" s="63"/>
      <c r="R211" s="206"/>
      <c r="S211" s="59"/>
      <c r="T211" s="27"/>
      <c r="U211" s="207"/>
      <c r="V211" s="27"/>
      <c r="W211" s="188"/>
      <c r="X211" s="189"/>
      <c r="Y211" s="208"/>
      <c r="Z211" s="163"/>
      <c r="AA211" s="26"/>
      <c r="AB211" s="26"/>
      <c r="AC211" s="494"/>
      <c r="AD211" s="26"/>
      <c r="AE211" s="489"/>
      <c r="AF211" s="237"/>
      <c r="AG211" s="26"/>
      <c r="AH211" s="26"/>
      <c r="AI211" s="175"/>
      <c r="AJ211" s="175"/>
      <c r="AK211" s="175"/>
      <c r="AL211" s="175"/>
      <c r="AM211" s="175"/>
      <c r="AN211" s="393"/>
      <c r="AO211" s="386" t="s">
        <v>237</v>
      </c>
      <c r="AP211" s="1266" t="s">
        <v>223</v>
      </c>
      <c r="AQ211" s="1266"/>
      <c r="AR211" s="1266"/>
      <c r="AS211" s="393"/>
      <c r="AT211" s="1289" t="s">
        <v>237</v>
      </c>
      <c r="AU211" s="1289"/>
      <c r="AV211" s="387"/>
      <c r="AW211" s="387"/>
      <c r="AX211" s="359"/>
      <c r="AY211" s="438" t="s">
        <v>237</v>
      </c>
      <c r="AZ211" s="388"/>
      <c r="BA211" s="368"/>
      <c r="BB211" s="439"/>
      <c r="BC211" s="359"/>
      <c r="BD211" s="463" t="s">
        <v>237</v>
      </c>
      <c r="BE211" s="403"/>
      <c r="BF211" s="4" t="s">
        <v>261</v>
      </c>
      <c r="BH211" s="12"/>
      <c r="BI211" s="403" t="s">
        <v>237</v>
      </c>
      <c r="BJ211" s="403"/>
      <c r="BM211" s="12"/>
      <c r="BN211" s="403" t="s">
        <v>237</v>
      </c>
      <c r="BO211" s="403"/>
      <c r="BQ211" s="462"/>
      <c r="BR211" s="12"/>
      <c r="BS211" s="12"/>
      <c r="BT211" s="12"/>
      <c r="BU211" s="12"/>
      <c r="BV211" s="12"/>
      <c r="BW211" s="12"/>
      <c r="BX211" s="4"/>
      <c r="BY211" s="4"/>
      <c r="BZ211" s="4"/>
      <c r="CA211" s="4"/>
      <c r="CB211" s="4"/>
      <c r="CC211" s="4"/>
      <c r="CD211" s="4"/>
      <c r="CE211" s="4"/>
      <c r="CF211" s="4"/>
      <c r="CG211" s="4"/>
      <c r="CH211" s="4"/>
      <c r="CI211" s="13"/>
    </row>
    <row r="212" spans="1:87" ht="18.75" customHeight="1">
      <c r="D212" s="101"/>
      <c r="E212" s="70"/>
      <c r="G212" s="9"/>
      <c r="H212" s="102"/>
      <c r="I212" s="5"/>
      <c r="J212" s="9"/>
      <c r="K212" s="18"/>
      <c r="M212" s="103"/>
      <c r="P212" s="103"/>
      <c r="Q212" s="70"/>
      <c r="R212" s="104"/>
      <c r="S212" s="68"/>
      <c r="T212" s="68"/>
      <c r="U212" s="68"/>
      <c r="V212" s="18"/>
      <c r="AA212" s="4"/>
      <c r="AB212" s="4"/>
      <c r="AC212" s="492"/>
      <c r="AD212" s="4"/>
      <c r="AE212" s="74"/>
      <c r="AF212" s="233"/>
      <c r="AG212" s="26"/>
      <c r="AH212" s="26"/>
      <c r="AI212" s="173"/>
      <c r="AJ212" s="173"/>
      <c r="AK212" s="173"/>
      <c r="AL212" s="173"/>
      <c r="AM212" s="173"/>
      <c r="AN212" s="387"/>
      <c r="AO212" s="371" t="s">
        <v>219</v>
      </c>
      <c r="AP212" s="360"/>
      <c r="AQ212" s="399"/>
      <c r="AR212" s="399"/>
      <c r="AS212" s="387"/>
      <c r="AT212" s="1301" t="s">
        <v>220</v>
      </c>
      <c r="AU212" s="1301"/>
      <c r="AV212" s="1301"/>
      <c r="AW212" s="1301"/>
      <c r="AX212" s="359"/>
      <c r="AY212" s="431" t="s">
        <v>226</v>
      </c>
      <c r="AZ212" s="1281" t="s">
        <v>225</v>
      </c>
      <c r="BA212" s="1281"/>
      <c r="BB212" s="1282"/>
      <c r="BC212" s="359"/>
      <c r="BD212" s="1267" t="s">
        <v>264</v>
      </c>
      <c r="BE212" s="1268"/>
      <c r="BF212" s="1268"/>
      <c r="BG212" s="1268"/>
      <c r="BH212" s="12"/>
      <c r="BI212" s="440" t="s">
        <v>265</v>
      </c>
      <c r="BJ212" s="1269" t="s">
        <v>263</v>
      </c>
      <c r="BK212" s="1269"/>
      <c r="BL212" s="1269"/>
      <c r="BM212" s="12"/>
      <c r="BN212" s="12"/>
      <c r="BO212" s="143" t="s">
        <v>266</v>
      </c>
      <c r="BP212" s="12" t="s">
        <v>88</v>
      </c>
      <c r="BQ212" s="449"/>
      <c r="BR212" s="12"/>
      <c r="BS212" s="12"/>
      <c r="BT212" s="12"/>
      <c r="BU212" s="12"/>
      <c r="BV212" s="12"/>
      <c r="BW212" s="12"/>
      <c r="BX212" s="4"/>
      <c r="BY212" s="4"/>
      <c r="BZ212" s="4"/>
      <c r="CA212" s="4"/>
      <c r="CB212" s="4"/>
      <c r="CC212" s="4"/>
      <c r="CD212" s="4"/>
      <c r="CE212" s="4"/>
      <c r="CF212" s="4"/>
      <c r="CG212" s="4"/>
      <c r="CH212" s="4"/>
      <c r="CI212" s="13"/>
    </row>
    <row r="213" spans="1:87" ht="18.75" customHeight="1">
      <c r="A213" s="196" t="s">
        <v>53</v>
      </c>
      <c r="B213" s="1382">
        <f>IF(I213=1,B35,0)</f>
        <v>0</v>
      </c>
      <c r="C213" s="1382"/>
      <c r="D213" s="1382"/>
      <c r="E213" s="198" t="s">
        <v>11</v>
      </c>
      <c r="F213" s="1412" t="s">
        <v>57</v>
      </c>
      <c r="G213" s="1412"/>
      <c r="H213" s="1412"/>
      <c r="I213" s="1449">
        <f>IF(I35=1,1,0)</f>
        <v>0</v>
      </c>
      <c r="J213" s="1450"/>
      <c r="K213" s="1373">
        <f>IF($AG$2&gt;0,0,IF((X215+X216+X217+X218+X219+Z214+Z215+Z216+Z217)&lt;0,"＊＊エラー介護該当者は①から入力＊＊",0))</f>
        <v>0</v>
      </c>
      <c r="L213" s="1374"/>
      <c r="M213" s="1374"/>
      <c r="N213" s="1374"/>
      <c r="O213" s="1374"/>
      <c r="P213" s="1374"/>
      <c r="Q213" s="1374"/>
      <c r="R213" s="1374"/>
      <c r="S213" s="1375"/>
      <c r="T213" s="197" t="s">
        <v>47</v>
      </c>
      <c r="U213" s="1383">
        <f>IF(U218&gt;0,"介護分",0)</f>
        <v>0</v>
      </c>
      <c r="V213" s="1384"/>
      <c r="W213" s="1385" t="s">
        <v>46</v>
      </c>
      <c r="X213" s="1164"/>
      <c r="Y213" s="1164"/>
      <c r="Z213" s="1165"/>
      <c r="AC213" s="492"/>
      <c r="AD213" s="4"/>
      <c r="AE213" s="74"/>
      <c r="AF213" s="238" t="s">
        <v>117</v>
      </c>
      <c r="AG213" s="26"/>
      <c r="AH213" s="276">
        <f>IF(K215=0,0,IF(K215&lt;12,1,0))</f>
        <v>0</v>
      </c>
      <c r="AI213" s="173"/>
      <c r="AJ213" s="173"/>
      <c r="AK213" s="173"/>
      <c r="AL213" s="173"/>
      <c r="AM213" s="173"/>
      <c r="AN213" s="400" t="s">
        <v>146</v>
      </c>
      <c r="AO213" s="1320" t="s">
        <v>46</v>
      </c>
      <c r="AP213" s="1287"/>
      <c r="AQ213" s="1396">
        <f>IF(AR40=0,0,ROUNDDOWN(AR219/AR40,8))</f>
        <v>0</v>
      </c>
      <c r="AR213" s="1397"/>
      <c r="AS213" s="387"/>
      <c r="AT213" s="1320" t="s">
        <v>215</v>
      </c>
      <c r="AU213" s="1287"/>
      <c r="AV213" s="1284">
        <f>IF($AG$184&gt;0,0,AR219-AR218)</f>
        <v>0</v>
      </c>
      <c r="AW213" s="1285"/>
      <c r="AX213" s="359"/>
      <c r="AY213" s="1286" t="s">
        <v>46</v>
      </c>
      <c r="AZ213" s="1287"/>
      <c r="BA213" s="1456">
        <f>IF(R215+R218=0,0,IF(K216&gt;K215,"期割がアンマッチ使用禁止↓",0))</f>
        <v>0</v>
      </c>
      <c r="BB213" s="1457"/>
      <c r="BC213" s="359"/>
      <c r="BD213" s="1272" t="s">
        <v>46</v>
      </c>
      <c r="BE213" s="1273"/>
      <c r="BF213" s="1270"/>
      <c r="BG213" s="1271"/>
      <c r="BH213" s="12"/>
      <c r="BI213" s="1139" t="s">
        <v>46</v>
      </c>
      <c r="BJ213" s="1273"/>
      <c r="BK213" s="1270"/>
      <c r="BL213" s="1271"/>
      <c r="BM213" s="12"/>
      <c r="BN213" s="1139" t="s">
        <v>46</v>
      </c>
      <c r="BO213" s="1273"/>
      <c r="BP213" s="1270"/>
      <c r="BQ213" s="1278"/>
      <c r="BR213" s="12"/>
      <c r="BS213" s="12"/>
      <c r="BT213" s="12"/>
      <c r="BU213" s="12"/>
      <c r="BV213" s="12"/>
      <c r="BW213" s="12"/>
      <c r="BX213" s="32"/>
      <c r="BY213" s="33" t="str">
        <f>BY203</f>
        <v>料率</v>
      </c>
      <c r="BZ213" s="33">
        <f>BZ203</f>
        <v>7</v>
      </c>
      <c r="CA213" s="33">
        <f>CA203</f>
        <v>5</v>
      </c>
      <c r="CB213" s="33">
        <f>CB203</f>
        <v>2</v>
      </c>
      <c r="CC213" s="4"/>
      <c r="CD213" s="4"/>
      <c r="CE213" s="4"/>
      <c r="CF213" s="4"/>
      <c r="CG213" s="4"/>
      <c r="CH213" s="4"/>
      <c r="CI213" s="13"/>
    </row>
    <row r="214" spans="1:87" ht="18.75" customHeight="1">
      <c r="A214" s="165"/>
      <c r="B214" s="12"/>
      <c r="C214" s="75" t="s">
        <v>33</v>
      </c>
      <c r="D214" s="12"/>
      <c r="E214" s="12"/>
      <c r="F214" s="12"/>
      <c r="G214" s="12"/>
      <c r="H214" s="50"/>
      <c r="I214" s="93"/>
      <c r="J214" s="12"/>
      <c r="K214" s="76" t="s">
        <v>9</v>
      </c>
      <c r="L214" s="12"/>
      <c r="M214" s="1409">
        <f>IF(R215+R218=0, 0, IF(K216=K215,0,IF(K216&gt;K215,"年度途中で資格変動有？保険料内訳のみ使用可能",0)))</f>
        <v>0</v>
      </c>
      <c r="N214" s="1409"/>
      <c r="O214" s="1409"/>
      <c r="P214" s="1409"/>
      <c r="Q214" s="1409"/>
      <c r="R214" s="1409"/>
      <c r="S214" s="1410"/>
      <c r="T214" s="72" t="s">
        <v>30</v>
      </c>
      <c r="U214" s="105">
        <f>R215+R218</f>
        <v>0</v>
      </c>
      <c r="V214" s="88" t="s">
        <v>6</v>
      </c>
      <c r="W214" s="80" t="s">
        <v>34</v>
      </c>
      <c r="X214" s="29">
        <f t="shared" ref="X214:X219" si="123">IF($AH$13&gt;0,0,AZ214)</f>
        <v>0</v>
      </c>
      <c r="Y214" s="80" t="s">
        <v>39</v>
      </c>
      <c r="Z214" s="31">
        <f>IF($AH$13&gt;0,0,BB214)</f>
        <v>0</v>
      </c>
      <c r="AA214" s="73"/>
      <c r="AB214" s="73"/>
      <c r="AC214" s="225"/>
      <c r="AD214" s="73"/>
      <c r="AE214" s="73"/>
      <c r="AF214" s="219">
        <f>AF215+AF218+AF221</f>
        <v>0</v>
      </c>
      <c r="AG214" s="26"/>
      <c r="AH214" s="26"/>
      <c r="AI214" s="173"/>
      <c r="AJ214" s="173"/>
      <c r="AK214" s="173"/>
      <c r="AL214" s="173"/>
      <c r="AM214" s="173"/>
      <c r="AN214" s="387"/>
      <c r="AO214" s="361" t="s">
        <v>34</v>
      </c>
      <c r="AP214" s="390">
        <f>ROUND(AP36*AQ213,0)</f>
        <v>0</v>
      </c>
      <c r="AQ214" s="363" t="s">
        <v>39</v>
      </c>
      <c r="AR214" s="391">
        <f>ROUND(AR36*AQ213,0)</f>
        <v>0</v>
      </c>
      <c r="AS214" s="387"/>
      <c r="AT214" s="364" t="s">
        <v>34</v>
      </c>
      <c r="AU214" s="390">
        <f>IF(AV213=0,0,IF(AV213&gt;=10,1,IF(AV213&lt;=-10,-1,0)))</f>
        <v>0</v>
      </c>
      <c r="AV214" s="392" t="s">
        <v>39</v>
      </c>
      <c r="AW214" s="391">
        <f>IF(AV213=0,0,IF(AV213&gt;=4,1,IF(AV213&lt;=-4,-1,0)))</f>
        <v>0</v>
      </c>
      <c r="AX214" s="359"/>
      <c r="AY214" s="432" t="s">
        <v>34</v>
      </c>
      <c r="AZ214" s="362">
        <f t="shared" ref="AZ214:AZ219" si="124">IF($AG$2&gt;0,"限度超過",AP214+AU214)</f>
        <v>0</v>
      </c>
      <c r="BA214" s="363" t="s">
        <v>39</v>
      </c>
      <c r="BB214" s="433">
        <f>IF($AG$2&gt;0,"限度超過",AR214+AW214)</f>
        <v>0</v>
      </c>
      <c r="BC214" s="359"/>
      <c r="BD214" s="451" t="s">
        <v>34</v>
      </c>
      <c r="BE214" s="81">
        <f t="shared" ref="BE214:BE219" si="125">BE204</f>
        <v>0</v>
      </c>
      <c r="BF214" s="82" t="s">
        <v>39</v>
      </c>
      <c r="BG214" s="29">
        <f>BG204</f>
        <v>0</v>
      </c>
      <c r="BH214" s="12"/>
      <c r="BI214" s="80" t="s">
        <v>34</v>
      </c>
      <c r="BJ214" s="29">
        <f t="shared" ref="BJ214:BJ219" si="126">IF($A$265=$L$265,"限度超過",IF(BE214=0,0,BE214/$S$183))</f>
        <v>0</v>
      </c>
      <c r="BK214" s="80" t="s">
        <v>39</v>
      </c>
      <c r="BL214" s="29">
        <f>IF($A$265=$L$265,"限度超過",IF(BG214=0,0,BG214/$S$183))</f>
        <v>0</v>
      </c>
      <c r="BM214" s="12"/>
      <c r="BN214" s="30" t="s">
        <v>34</v>
      </c>
      <c r="BO214" s="29">
        <f t="shared" ref="BO214:BO219" si="127">IF($A$265=$L$265,"限度超過",IF($S$183&lt;=2,0,BJ214))</f>
        <v>0</v>
      </c>
      <c r="BP214" s="80" t="s">
        <v>39</v>
      </c>
      <c r="BQ214" s="460">
        <f>IF($A$265=$L$265,"限度超過",IF($S$183&lt;=2,0,BL214))</f>
        <v>0</v>
      </c>
      <c r="BR214" s="12"/>
      <c r="BS214" s="12"/>
      <c r="BT214" s="12"/>
      <c r="BU214" s="12"/>
      <c r="BV214" s="12"/>
      <c r="BW214" s="12"/>
      <c r="BX214" s="32" t="s">
        <v>17</v>
      </c>
      <c r="BY214" s="44">
        <v>0</v>
      </c>
      <c r="BZ214" s="45">
        <f>$CF$186</f>
        <v>5440</v>
      </c>
      <c r="CA214" s="45">
        <f>$CG$186</f>
        <v>3880</v>
      </c>
      <c r="CB214" s="45">
        <f>$CH$186</f>
        <v>1560</v>
      </c>
      <c r="CC214" s="4"/>
      <c r="CD214" s="4"/>
      <c r="CE214" s="4"/>
      <c r="CF214" s="4"/>
      <c r="CG214" s="4"/>
      <c r="CH214" s="4"/>
      <c r="CI214" s="13"/>
    </row>
    <row r="215" spans="1:87" ht="18.75" customHeight="1">
      <c r="A215" s="1421" t="s">
        <v>0</v>
      </c>
      <c r="B215" s="1448" t="s">
        <v>129</v>
      </c>
      <c r="C215" s="1376">
        <f>IF(K215&gt;0,C37,0)</f>
        <v>0</v>
      </c>
      <c r="D215" s="855" t="s">
        <v>58</v>
      </c>
      <c r="E215" s="1416">
        <f>IF(H218&gt;0,$CE$189, 0)</f>
        <v>0</v>
      </c>
      <c r="F215" s="1380" t="s">
        <v>22</v>
      </c>
      <c r="G215" s="855" t="s">
        <v>59</v>
      </c>
      <c r="H215" s="85">
        <f>IF(H218&gt;0,$CE$185,0)</f>
        <v>0</v>
      </c>
      <c r="I215" s="1277" t="s">
        <v>22</v>
      </c>
      <c r="J215" s="855" t="s">
        <v>59</v>
      </c>
      <c r="K215" s="51">
        <f>入力画面!I25</f>
        <v>0</v>
      </c>
      <c r="L215" s="52" t="s">
        <v>5</v>
      </c>
      <c r="M215" s="1380"/>
      <c r="N215" s="1407"/>
      <c r="O215" s="86"/>
      <c r="P215" s="1377" t="s">
        <v>130</v>
      </c>
      <c r="Q215" s="1377"/>
      <c r="R215" s="1403">
        <f>ROUNDDOWN(IF(((C215-E215)*H215/H216)*K215/K216&lt;0,0,((C215-E215)*H215/H216)*K215/K216),0)</f>
        <v>0</v>
      </c>
      <c r="S215" s="1408" t="s">
        <v>6</v>
      </c>
      <c r="T215" s="72" t="s">
        <v>1</v>
      </c>
      <c r="U215" s="105">
        <f>IF(H218=0,0,K221)</f>
        <v>0</v>
      </c>
      <c r="V215" s="88" t="s">
        <v>6</v>
      </c>
      <c r="W215" s="30" t="s">
        <v>35</v>
      </c>
      <c r="X215" s="29">
        <f t="shared" si="123"/>
        <v>0</v>
      </c>
      <c r="Y215" s="30" t="s">
        <v>40</v>
      </c>
      <c r="Z215" s="31">
        <f>IF($AH$13&gt;0,0,BB215)</f>
        <v>0</v>
      </c>
      <c r="AA215" s="26"/>
      <c r="AB215" s="26"/>
      <c r="AC215" s="494"/>
      <c r="AD215" s="26"/>
      <c r="AE215" s="489"/>
      <c r="AF215" s="1360">
        <f>ROUNDDOWN(IF(((C215-E215)*H215/H216)&lt;0,0,((C215-E215)*H215/H216)),0)</f>
        <v>0</v>
      </c>
      <c r="AG215" s="4"/>
      <c r="AH215" s="4"/>
      <c r="AI215" s="173"/>
      <c r="AJ215" s="173"/>
      <c r="AK215" s="173"/>
      <c r="AL215" s="173"/>
      <c r="AM215" s="173"/>
      <c r="AN215" s="387"/>
      <c r="AO215" s="364" t="s">
        <v>35</v>
      </c>
      <c r="AP215" s="390">
        <f>ROUND(AP37*AQ213,0)</f>
        <v>0</v>
      </c>
      <c r="AQ215" s="363" t="s">
        <v>40</v>
      </c>
      <c r="AR215" s="391">
        <f>ROUND(AR37*AQ213,0)</f>
        <v>0</v>
      </c>
      <c r="AS215" s="387"/>
      <c r="AT215" s="364" t="s">
        <v>35</v>
      </c>
      <c r="AU215" s="390">
        <f>IF(AV213=0,0,IF(AV213&gt;=9,1,IF(AV213&lt;=-9,-1,0)))</f>
        <v>0</v>
      </c>
      <c r="AV215" s="392" t="s">
        <v>40</v>
      </c>
      <c r="AW215" s="391">
        <f>IF(AV213=0,0,IF(AV213&gt;=3,1,IF(AV213&lt;=-3,-1,0)))</f>
        <v>0</v>
      </c>
      <c r="AX215" s="359"/>
      <c r="AY215" s="434" t="s">
        <v>35</v>
      </c>
      <c r="AZ215" s="362">
        <f t="shared" si="124"/>
        <v>0</v>
      </c>
      <c r="BA215" s="363" t="s">
        <v>40</v>
      </c>
      <c r="BB215" s="433">
        <f>IF($AG$2&gt;0,"限度超過",AR215+AW215)</f>
        <v>0</v>
      </c>
      <c r="BC215" s="359"/>
      <c r="BD215" s="451" t="s">
        <v>35</v>
      </c>
      <c r="BE215" s="81">
        <f t="shared" si="125"/>
        <v>0</v>
      </c>
      <c r="BF215" s="82" t="s">
        <v>40</v>
      </c>
      <c r="BG215" s="29">
        <f>BG205</f>
        <v>0</v>
      </c>
      <c r="BH215" s="12"/>
      <c r="BI215" s="30" t="s">
        <v>35</v>
      </c>
      <c r="BJ215" s="29">
        <f t="shared" si="126"/>
        <v>0</v>
      </c>
      <c r="BK215" s="30" t="s">
        <v>40</v>
      </c>
      <c r="BL215" s="29">
        <f>IF($A$265=$L$265,"限度超過",IF(BG215=0,0,BG215/$S$183))</f>
        <v>0</v>
      </c>
      <c r="BM215" s="12"/>
      <c r="BN215" s="30" t="s">
        <v>35</v>
      </c>
      <c r="BO215" s="29">
        <f t="shared" si="127"/>
        <v>0</v>
      </c>
      <c r="BP215" s="30" t="s">
        <v>40</v>
      </c>
      <c r="BQ215" s="460">
        <f>IF($A$265=$L$265,"限度超過",IF($S$183&lt;=2,0,BL215))</f>
        <v>0</v>
      </c>
      <c r="BR215" s="12"/>
      <c r="BS215" s="12"/>
      <c r="BT215" s="12"/>
      <c r="BU215" s="12"/>
      <c r="BV215" s="12"/>
      <c r="BW215" s="12"/>
      <c r="BX215" s="32" t="s">
        <v>8</v>
      </c>
      <c r="BY215" s="45">
        <f>K208</f>
        <v>0</v>
      </c>
      <c r="BZ215" s="45">
        <f t="shared" ref="BZ215:CB217" si="128">BY215</f>
        <v>0</v>
      </c>
      <c r="CA215" s="45">
        <f t="shared" si="128"/>
        <v>0</v>
      </c>
      <c r="CB215" s="45">
        <f t="shared" si="128"/>
        <v>0</v>
      </c>
      <c r="CC215" s="4"/>
      <c r="CD215" s="4"/>
      <c r="CE215" s="4"/>
      <c r="CF215" s="4"/>
      <c r="CG215" s="4"/>
      <c r="CH215" s="4"/>
      <c r="CI215" s="13"/>
    </row>
    <row r="216" spans="1:87" ht="18.75" customHeight="1">
      <c r="A216" s="1421"/>
      <c r="B216" s="1448"/>
      <c r="C216" s="1376"/>
      <c r="D216" s="855"/>
      <c r="E216" s="1416"/>
      <c r="F216" s="1380"/>
      <c r="G216" s="855"/>
      <c r="H216" s="39">
        <v>100</v>
      </c>
      <c r="I216" s="1277"/>
      <c r="J216" s="855"/>
      <c r="K216" s="55">
        <v>12</v>
      </c>
      <c r="L216" s="12" t="s">
        <v>5</v>
      </c>
      <c r="M216" s="1380"/>
      <c r="N216" s="1407"/>
      <c r="O216" s="86"/>
      <c r="P216" s="1377"/>
      <c r="Q216" s="1377"/>
      <c r="R216" s="1403"/>
      <c r="S216" s="1408"/>
      <c r="T216" s="72" t="s">
        <v>29</v>
      </c>
      <c r="U216" s="105">
        <f>U214+U215</f>
        <v>0</v>
      </c>
      <c r="V216" s="88" t="s">
        <v>6</v>
      </c>
      <c r="W216" s="30" t="s">
        <v>36</v>
      </c>
      <c r="X216" s="29">
        <f t="shared" si="123"/>
        <v>0</v>
      </c>
      <c r="Y216" s="30" t="s">
        <v>41</v>
      </c>
      <c r="Z216" s="31">
        <f>IF($AH$13&gt;0,0,BB216)</f>
        <v>0</v>
      </c>
      <c r="AA216" s="26"/>
      <c r="AB216" s="26"/>
      <c r="AC216" s="494"/>
      <c r="AD216" s="26"/>
      <c r="AE216" s="489"/>
      <c r="AF216" s="1360"/>
      <c r="AG216" s="4"/>
      <c r="AI216" s="173"/>
      <c r="AJ216" s="173"/>
      <c r="AK216" s="173"/>
      <c r="AL216" s="173"/>
      <c r="AM216" s="173"/>
      <c r="AN216" s="387"/>
      <c r="AO216" s="364" t="s">
        <v>36</v>
      </c>
      <c r="AP216" s="390">
        <f>ROUND(AP38*AQ213,0)</f>
        <v>0</v>
      </c>
      <c r="AQ216" s="363" t="s">
        <v>41</v>
      </c>
      <c r="AR216" s="391">
        <f>ROUND(AR38*AQ213,0)</f>
        <v>0</v>
      </c>
      <c r="AS216" s="387"/>
      <c r="AT216" s="364" t="s">
        <v>36</v>
      </c>
      <c r="AU216" s="390">
        <f>IF(AV213=0,0,IF(AV213&gt;=8,1,IF(AV213&lt;=-8,-1,0)))</f>
        <v>0</v>
      </c>
      <c r="AV216" s="392" t="s">
        <v>41</v>
      </c>
      <c r="AW216" s="391">
        <f>IF(AV213=0,0,IF(AV213&gt;=2,1,IF(AV213&lt;=-2,-1,0)))</f>
        <v>0</v>
      </c>
      <c r="AX216" s="359"/>
      <c r="AY216" s="434" t="s">
        <v>36</v>
      </c>
      <c r="AZ216" s="362">
        <f t="shared" si="124"/>
        <v>0</v>
      </c>
      <c r="BA216" s="363" t="s">
        <v>41</v>
      </c>
      <c r="BB216" s="433">
        <f>IF($AG$2&gt;0,"限度超過",AR216+AW216)</f>
        <v>0</v>
      </c>
      <c r="BC216" s="359"/>
      <c r="BD216" s="451" t="s">
        <v>36</v>
      </c>
      <c r="BE216" s="81">
        <f t="shared" si="125"/>
        <v>0</v>
      </c>
      <c r="BF216" s="82" t="s">
        <v>41</v>
      </c>
      <c r="BG216" s="29">
        <f>BG206</f>
        <v>0</v>
      </c>
      <c r="BH216" s="12"/>
      <c r="BI216" s="30" t="s">
        <v>36</v>
      </c>
      <c r="BJ216" s="29">
        <f t="shared" si="126"/>
        <v>0</v>
      </c>
      <c r="BK216" s="30" t="s">
        <v>41</v>
      </c>
      <c r="BL216" s="29">
        <f>IF($A$265=$L$265,"限度超過",IF(BG216=0,0,BG216/$S$183))</f>
        <v>0</v>
      </c>
      <c r="BM216" s="12"/>
      <c r="BN216" s="30" t="s">
        <v>36</v>
      </c>
      <c r="BO216" s="29">
        <f t="shared" si="127"/>
        <v>0</v>
      </c>
      <c r="BP216" s="30" t="s">
        <v>41</v>
      </c>
      <c r="BQ216" s="460">
        <f>IF($A$265=$L$265,"限度超過",IF($S$183&lt;=2,0,BL216))</f>
        <v>0</v>
      </c>
      <c r="BR216" s="12"/>
      <c r="BS216" s="12"/>
      <c r="BT216" s="12"/>
      <c r="BU216" s="12"/>
      <c r="BV216" s="12"/>
      <c r="BW216" s="12"/>
      <c r="BX216" s="32" t="s">
        <v>25</v>
      </c>
      <c r="BY216" s="45">
        <f>K209</f>
        <v>0</v>
      </c>
      <c r="BZ216" s="45">
        <f t="shared" si="128"/>
        <v>0</v>
      </c>
      <c r="CA216" s="45">
        <f t="shared" si="128"/>
        <v>0</v>
      </c>
      <c r="CB216" s="45">
        <f t="shared" si="128"/>
        <v>0</v>
      </c>
      <c r="CC216" s="4"/>
      <c r="CD216" s="4"/>
      <c r="CE216" s="4"/>
      <c r="CF216" s="4"/>
      <c r="CG216" s="4"/>
      <c r="CH216" s="4"/>
      <c r="CI216" s="13"/>
    </row>
    <row r="217" spans="1:87" ht="18.75" customHeight="1">
      <c r="A217" s="165"/>
      <c r="B217" s="12"/>
      <c r="C217" s="50"/>
      <c r="D217" s="12"/>
      <c r="E217" s="12"/>
      <c r="F217" s="12"/>
      <c r="G217" s="12"/>
      <c r="H217" s="91"/>
      <c r="I217" s="75"/>
      <c r="J217" s="75"/>
      <c r="K217" s="92"/>
      <c r="L217" s="75"/>
      <c r="M217" s="93"/>
      <c r="N217" s="94"/>
      <c r="O217" s="42">
        <f>IF(H218=0,0,$D$183)</f>
        <v>0</v>
      </c>
      <c r="P217" s="466">
        <f>IF(O218=0,0,"軽減額")</f>
        <v>0</v>
      </c>
      <c r="Q217" s="12"/>
      <c r="R217" s="95"/>
      <c r="S217" s="49"/>
      <c r="T217" s="96" t="s">
        <v>31</v>
      </c>
      <c r="U217" s="105">
        <f>ROUNDDOWN(U216,-2)</f>
        <v>0</v>
      </c>
      <c r="V217" s="88" t="s">
        <v>6</v>
      </c>
      <c r="W217" s="30" t="s">
        <v>43</v>
      </c>
      <c r="X217" s="29">
        <f t="shared" si="123"/>
        <v>0</v>
      </c>
      <c r="Y217" s="30" t="s">
        <v>42</v>
      </c>
      <c r="Z217" s="31">
        <f>IF($AH$13&gt;0,0,BB217)</f>
        <v>0</v>
      </c>
      <c r="AA217" s="26"/>
      <c r="AB217" s="26"/>
      <c r="AC217" s="494"/>
      <c r="AD217" s="26"/>
      <c r="AE217" s="500" t="str">
        <f>IF($AH$13&gt;0,"－",IF($AG$2&gt;0,"限度超過",IF(U218=Z218,"OK","ｱﾝﾏｯﾁ")))</f>
        <v>OK</v>
      </c>
      <c r="AF217" s="499"/>
      <c r="AG217" s="73"/>
      <c r="AI217" s="174"/>
      <c r="AJ217" s="174"/>
      <c r="AK217" s="174"/>
      <c r="AL217" s="174"/>
      <c r="AM217" s="174"/>
      <c r="AN217" s="389"/>
      <c r="AO217" s="364" t="s">
        <v>43</v>
      </c>
      <c r="AP217" s="390">
        <f>ROUND(AP39*AQ213,0)</f>
        <v>0</v>
      </c>
      <c r="AQ217" s="363" t="s">
        <v>42</v>
      </c>
      <c r="AR217" s="391">
        <f>ROUND(AR39*AQ213,0)</f>
        <v>0</v>
      </c>
      <c r="AS217" s="389"/>
      <c r="AT217" s="364" t="s">
        <v>43</v>
      </c>
      <c r="AU217" s="390">
        <f>IF(AV213=0,0,IF(AV213&gt;=7,1,IF(AV213&lt;=-7,-1,0)))</f>
        <v>0</v>
      </c>
      <c r="AV217" s="392" t="s">
        <v>42</v>
      </c>
      <c r="AW217" s="391">
        <f>IF(AV213=0,0,IF(AV213&gt;=1,1,IF(AV213&lt;=-1,-1,0)))</f>
        <v>0</v>
      </c>
      <c r="AX217" s="359"/>
      <c r="AY217" s="434" t="s">
        <v>43</v>
      </c>
      <c r="AZ217" s="362">
        <f t="shared" si="124"/>
        <v>0</v>
      </c>
      <c r="BA217" s="363" t="s">
        <v>42</v>
      </c>
      <c r="BB217" s="433">
        <f>IF($AG$2&gt;0,"限度超過",AR217+AW217)</f>
        <v>0</v>
      </c>
      <c r="BC217" s="359"/>
      <c r="BD217" s="451" t="s">
        <v>43</v>
      </c>
      <c r="BE217" s="81">
        <f t="shared" si="125"/>
        <v>0</v>
      </c>
      <c r="BF217" s="82" t="s">
        <v>42</v>
      </c>
      <c r="BG217" s="29">
        <f>BG207</f>
        <v>0</v>
      </c>
      <c r="BH217" s="12"/>
      <c r="BI217" s="30" t="s">
        <v>43</v>
      </c>
      <c r="BJ217" s="29">
        <f t="shared" si="126"/>
        <v>0</v>
      </c>
      <c r="BK217" s="30" t="s">
        <v>42</v>
      </c>
      <c r="BL217" s="29">
        <f>IF($A$265=$L$265,"限度超過",IF(BG217=0,0,BG217/$S$183))</f>
        <v>0</v>
      </c>
      <c r="BM217" s="12"/>
      <c r="BN217" s="30" t="s">
        <v>43</v>
      </c>
      <c r="BO217" s="29">
        <f t="shared" si="127"/>
        <v>0</v>
      </c>
      <c r="BP217" s="30" t="s">
        <v>42</v>
      </c>
      <c r="BQ217" s="460">
        <f>IF($A$265=$L$265,"限度超過",IF($S$183&lt;=2,0,BL217))</f>
        <v>0</v>
      </c>
      <c r="BR217" s="12"/>
      <c r="BS217" s="12"/>
      <c r="BT217" s="12"/>
      <c r="BU217" s="12"/>
      <c r="BV217" s="12"/>
      <c r="BW217" s="12"/>
      <c r="BX217" s="32" t="s">
        <v>26</v>
      </c>
      <c r="BY217" s="26">
        <f>H208</f>
        <v>0</v>
      </c>
      <c r="BZ217" s="99">
        <f t="shared" si="128"/>
        <v>0</v>
      </c>
      <c r="CA217" s="99">
        <f t="shared" si="128"/>
        <v>0</v>
      </c>
      <c r="CB217" s="99">
        <f t="shared" si="128"/>
        <v>0</v>
      </c>
      <c r="CC217" s="4"/>
      <c r="CD217" s="4"/>
      <c r="CE217" s="4"/>
      <c r="CF217" s="4"/>
      <c r="CG217" s="4"/>
      <c r="CH217" s="4"/>
      <c r="CI217" s="13"/>
    </row>
    <row r="218" spans="1:87" ht="18.75" customHeight="1">
      <c r="A218" s="1421" t="s">
        <v>10</v>
      </c>
      <c r="B218" s="12"/>
      <c r="C218" s="12"/>
      <c r="D218" s="1419" t="s">
        <v>7</v>
      </c>
      <c r="E218" s="1416">
        <f>IF(H218&gt;0,$CE$186,0)</f>
        <v>0</v>
      </c>
      <c r="F218" s="97"/>
      <c r="G218" s="855" t="s">
        <v>59</v>
      </c>
      <c r="H218" s="1413">
        <f>IF(B213=0,0,SUBTOTAL(3,B213))</f>
        <v>0</v>
      </c>
      <c r="I218" s="1277" t="s">
        <v>22</v>
      </c>
      <c r="J218" s="855" t="s">
        <v>59</v>
      </c>
      <c r="K218" s="51">
        <f>IF(H218&gt;0,K215,0)</f>
        <v>0</v>
      </c>
      <c r="L218" s="52" t="s">
        <v>5</v>
      </c>
      <c r="M218" s="1407" t="s">
        <v>122</v>
      </c>
      <c r="N218" s="1402">
        <f>IF(O218=0,0,"―")</f>
        <v>0</v>
      </c>
      <c r="O218" s="1404">
        <f>IF(H218&lt;=0,0,IF($D$183=0,0,IF($D$183=7,BZ228,IF($D$183=5,CA228,IF($D$183=2,CB228,"間違い!")))))</f>
        <v>0</v>
      </c>
      <c r="P218" s="1405"/>
      <c r="Q218" s="1377" t="s">
        <v>130</v>
      </c>
      <c r="R218" s="1403">
        <f>IF(H218&gt;0,IF(K215=0,0,ROUNDDOWN(((E218*H218)*K218/K219)-O218,0)),0)</f>
        <v>0</v>
      </c>
      <c r="S218" s="1408" t="s">
        <v>6</v>
      </c>
      <c r="T218" s="1388" t="s">
        <v>32</v>
      </c>
      <c r="U218" s="1387">
        <f>IF($L$265=$A$265,"限度超過",U216)</f>
        <v>0</v>
      </c>
      <c r="V218" s="1389" t="s">
        <v>6</v>
      </c>
      <c r="W218" s="30" t="s">
        <v>37</v>
      </c>
      <c r="X218" s="29">
        <f t="shared" si="123"/>
        <v>0</v>
      </c>
      <c r="Y218" s="1199" t="s">
        <v>44</v>
      </c>
      <c r="Z218" s="1394">
        <f>IF($AH$13&gt;0,0,BB218)</f>
        <v>0</v>
      </c>
      <c r="AA218" s="26"/>
      <c r="AB218" s="26"/>
      <c r="AC218" s="494"/>
      <c r="AD218" s="26"/>
      <c r="AE218" s="500" t="str">
        <f>IF($AG$2&gt;0,"限度超過",IF(X214+X215+X216+X217+X218+X219+Z214+Z215+Z216+Z217=Z218,"OK","エラー"))</f>
        <v>OK</v>
      </c>
      <c r="AF218" s="1361">
        <f>IF(H218&gt;0,IF(K215=0,0,ROUNDDOWN((E218*H218)-O218,0)),0)</f>
        <v>0</v>
      </c>
      <c r="AG218" s="26"/>
      <c r="AH218" s="26"/>
      <c r="AI218" s="174"/>
      <c r="AJ218" s="174"/>
      <c r="AK218" s="174"/>
      <c r="AL218" s="174"/>
      <c r="AM218" s="174"/>
      <c r="AN218" s="389"/>
      <c r="AO218" s="364" t="s">
        <v>37</v>
      </c>
      <c r="AP218" s="390">
        <f>ROUND(AP40*AQ213,0)</f>
        <v>0</v>
      </c>
      <c r="AQ218" s="365" t="s">
        <v>44</v>
      </c>
      <c r="AR218" s="366">
        <f>AP214+AP215+AP216+AP217+AP218+AP219+AR214+AR215+AR216+AR217</f>
        <v>0</v>
      </c>
      <c r="AS218" s="389"/>
      <c r="AT218" s="364" t="s">
        <v>37</v>
      </c>
      <c r="AU218" s="390">
        <f>IF(AV213=0,0,IF(AV213&gt;=6,1,IF(AV213&lt;=-6,-1,0)))</f>
        <v>0</v>
      </c>
      <c r="AV218" s="394" t="s">
        <v>44</v>
      </c>
      <c r="AW218" s="395">
        <f>AU214+AU215+AU216+AU217+AU218+AU219+AW214+AW215+AW216+AW217</f>
        <v>0</v>
      </c>
      <c r="AX218" s="359"/>
      <c r="AY218" s="434" t="s">
        <v>37</v>
      </c>
      <c r="AZ218" s="362">
        <f t="shared" si="124"/>
        <v>0</v>
      </c>
      <c r="BA218" s="365" t="s">
        <v>44</v>
      </c>
      <c r="BB218" s="435">
        <f>IF($AG$2&gt;0,"限度超過",AZ214+AZ215+AZ216+AZ217+AZ218+AZ219+BB214+BB215+BB216+BB217)</f>
        <v>0</v>
      </c>
      <c r="BC218" s="359"/>
      <c r="BD218" s="451" t="s">
        <v>37</v>
      </c>
      <c r="BE218" s="81">
        <f t="shared" si="125"/>
        <v>0</v>
      </c>
      <c r="BF218" s="443" t="s">
        <v>44</v>
      </c>
      <c r="BG218" s="29">
        <f>IF($A$265=$L$265,"限度超過",BE214+BE215+BE216+BE217+BE218+BE219+BG214+BG215+BG216+BG217)</f>
        <v>0</v>
      </c>
      <c r="BH218" s="12"/>
      <c r="BI218" s="30" t="s">
        <v>37</v>
      </c>
      <c r="BJ218" s="29">
        <f t="shared" si="126"/>
        <v>0</v>
      </c>
      <c r="BK218" s="98" t="s">
        <v>44</v>
      </c>
      <c r="BL218" s="29">
        <f>IF($A$265=$L$265,"限度超過",BJ214+BJ215+BJ216+BJ217+BJ218+BJ219+BL214+BL215+BL216+BL217)</f>
        <v>0</v>
      </c>
      <c r="BM218" s="12"/>
      <c r="BN218" s="30" t="s">
        <v>37</v>
      </c>
      <c r="BO218" s="29">
        <f t="shared" si="127"/>
        <v>0</v>
      </c>
      <c r="BP218" s="98" t="s">
        <v>44</v>
      </c>
      <c r="BQ218" s="460">
        <f>IF($A$265=$L$265,"限度超過",BO214+BO215+BO216+BO217+BO218+BO219+BQ214+BQ215+BQ216+BQ217)</f>
        <v>0</v>
      </c>
      <c r="BR218" s="12"/>
      <c r="BS218" s="12"/>
      <c r="BT218" s="12"/>
      <c r="BU218" s="12"/>
      <c r="BV218" s="12"/>
      <c r="BW218" s="12"/>
      <c r="BX218" s="67" t="s">
        <v>27</v>
      </c>
      <c r="BY218" s="45">
        <f>IF(BY217&gt;0,ROUNDDOWN(BY214*BY217*BY215/BY216,0),0)</f>
        <v>0</v>
      </c>
      <c r="BZ218" s="45">
        <f>IF(BZ217&gt;0,ROUNDDOWN(BZ214*BZ217*BZ215/BZ216,0),0)</f>
        <v>0</v>
      </c>
      <c r="CA218" s="45">
        <f>IF(CA217&gt;0,ROUNDDOWN(CA214*CA217*CA215/CA216,0),0)</f>
        <v>0</v>
      </c>
      <c r="CB218" s="45">
        <f>IF(CB217&gt;0,ROUNDDOWN(CB214*CB217*CB215/CB216,0),0)</f>
        <v>0</v>
      </c>
      <c r="CC218" s="4"/>
      <c r="CD218" s="4"/>
      <c r="CE218" s="4"/>
      <c r="CF218" s="4"/>
      <c r="CG218" s="4"/>
      <c r="CH218" s="4"/>
      <c r="CI218" s="13"/>
    </row>
    <row r="219" spans="1:87" ht="18.75" customHeight="1">
      <c r="A219" s="1421"/>
      <c r="B219" s="12"/>
      <c r="C219" s="12"/>
      <c r="D219" s="1419"/>
      <c r="E219" s="1416"/>
      <c r="F219" s="12"/>
      <c r="G219" s="855"/>
      <c r="H219" s="1413"/>
      <c r="I219" s="1277"/>
      <c r="J219" s="855"/>
      <c r="K219" s="180">
        <f>IF(H218&gt;0,K216,0)</f>
        <v>0</v>
      </c>
      <c r="L219" s="12" t="s">
        <v>5</v>
      </c>
      <c r="M219" s="1407"/>
      <c r="N219" s="1402"/>
      <c r="O219" s="1405"/>
      <c r="P219" s="1405"/>
      <c r="Q219" s="1377"/>
      <c r="R219" s="1403"/>
      <c r="S219" s="1408"/>
      <c r="T219" s="1388"/>
      <c r="U219" s="1387"/>
      <c r="V219" s="1389"/>
      <c r="W219" s="30" t="s">
        <v>38</v>
      </c>
      <c r="X219" s="29">
        <f t="shared" si="123"/>
        <v>0</v>
      </c>
      <c r="Y219" s="1368"/>
      <c r="Z219" s="1395"/>
      <c r="AA219" s="26"/>
      <c r="AB219" s="26"/>
      <c r="AC219" s="494"/>
      <c r="AD219" s="26"/>
      <c r="AE219" s="489"/>
      <c r="AF219" s="1360"/>
      <c r="AG219" s="26"/>
      <c r="AH219" s="26"/>
      <c r="AI219" s="175"/>
      <c r="AJ219" s="175"/>
      <c r="AK219" s="175"/>
      <c r="AL219" s="175"/>
      <c r="AM219" s="175"/>
      <c r="AN219" s="393"/>
      <c r="AO219" s="364" t="s">
        <v>38</v>
      </c>
      <c r="AP219" s="390">
        <f>ROUND(AP41*AQ213,0)</f>
        <v>0</v>
      </c>
      <c r="AQ219" s="363" t="s">
        <v>75</v>
      </c>
      <c r="AR219" s="396">
        <f>U218</f>
        <v>0</v>
      </c>
      <c r="AS219" s="393"/>
      <c r="AT219" s="364" t="s">
        <v>38</v>
      </c>
      <c r="AU219" s="390">
        <f>IF(AV213=0,0,IF(AV213&gt;=5,1,IF(AV213&lt;=-5,-1,0)))</f>
        <v>0</v>
      </c>
      <c r="AV219" s="392"/>
      <c r="AW219" s="397" t="str">
        <f>IF(AU214+AU215+AU216+AU217+AU218+AU219+AW214+AW215+AW216+AW217=AV213,"計算ＯＫ","エラー発生")</f>
        <v>計算ＯＫ</v>
      </c>
      <c r="AX219" s="359"/>
      <c r="AY219" s="434" t="s">
        <v>38</v>
      </c>
      <c r="AZ219" s="362">
        <f t="shared" si="124"/>
        <v>0</v>
      </c>
      <c r="BA219" s="363"/>
      <c r="BB219" s="436">
        <f>IF($AG$2&gt;0,"限度超過",U218)</f>
        <v>0</v>
      </c>
      <c r="BC219" s="359"/>
      <c r="BD219" s="451" t="s">
        <v>38</v>
      </c>
      <c r="BE219" s="81">
        <f t="shared" si="125"/>
        <v>0</v>
      </c>
      <c r="BF219" s="82"/>
      <c r="BG219" s="100"/>
      <c r="BH219" s="12"/>
      <c r="BI219" s="30" t="s">
        <v>38</v>
      </c>
      <c r="BJ219" s="29">
        <f t="shared" si="126"/>
        <v>0</v>
      </c>
      <c r="BK219" s="30"/>
      <c r="BL219" s="100"/>
      <c r="BM219" s="12"/>
      <c r="BN219" s="30" t="s">
        <v>38</v>
      </c>
      <c r="BO219" s="29">
        <f t="shared" si="127"/>
        <v>0</v>
      </c>
      <c r="BP219" s="30"/>
      <c r="BQ219" s="461"/>
      <c r="BR219" s="12"/>
      <c r="BS219" s="12"/>
      <c r="BT219" s="12"/>
      <c r="BU219" s="12"/>
      <c r="BV219" s="12"/>
      <c r="BW219" s="12"/>
      <c r="BX219" s="4"/>
      <c r="BY219" s="4"/>
      <c r="BZ219" s="4"/>
      <c r="CA219" s="4"/>
      <c r="CB219" s="4"/>
      <c r="CC219" s="4"/>
      <c r="CD219" s="4"/>
      <c r="CE219" s="4"/>
      <c r="CF219" s="4"/>
      <c r="CG219" s="4"/>
      <c r="CH219" s="4"/>
      <c r="CI219" s="13"/>
    </row>
    <row r="220" spans="1:87" ht="18.75" customHeight="1">
      <c r="A220" s="202"/>
      <c r="B220" s="75" t="s">
        <v>118</v>
      </c>
      <c r="C220" s="12"/>
      <c r="D220" s="160"/>
      <c r="E220" s="161"/>
      <c r="F220" s="12"/>
      <c r="G220" s="50"/>
      <c r="H220" s="162"/>
      <c r="I220" s="159"/>
      <c r="J220" s="50"/>
      <c r="K220" s="180"/>
      <c r="L220" s="12"/>
      <c r="M220" s="86"/>
      <c r="N220" s="86"/>
      <c r="O220" s="181"/>
      <c r="P220" s="181"/>
      <c r="Q220" s="156"/>
      <c r="R220" s="157"/>
      <c r="S220" s="49"/>
      <c r="T220" s="50"/>
      <c r="U220" s="182"/>
      <c r="V220" s="50"/>
      <c r="W220" s="4"/>
      <c r="X220" s="26"/>
      <c r="Y220" s="170"/>
      <c r="Z220" s="187"/>
      <c r="AA220" s="4"/>
      <c r="AB220" s="4"/>
      <c r="AC220" s="492"/>
      <c r="AD220" s="4"/>
      <c r="AE220" s="74"/>
      <c r="AF220" s="236"/>
      <c r="AG220" s="26"/>
      <c r="AH220" s="26"/>
      <c r="AI220" s="173"/>
      <c r="AJ220" s="173"/>
      <c r="AK220" s="173"/>
      <c r="AL220" s="173"/>
      <c r="AM220" s="173"/>
      <c r="AN220" s="387"/>
      <c r="AO220" s="367"/>
      <c r="AP220" s="398"/>
      <c r="AQ220" s="368"/>
      <c r="AR220" s="368"/>
      <c r="AS220" s="387"/>
      <c r="AT220" s="387"/>
      <c r="AU220" s="387"/>
      <c r="AV220" s="387"/>
      <c r="AW220" s="387"/>
      <c r="AX220" s="359"/>
      <c r="AY220" s="437"/>
      <c r="AZ220" s="470" t="str">
        <f>IF($AG$2&gt;0,"限度超過","－")</f>
        <v>－</v>
      </c>
      <c r="BA220" s="368"/>
      <c r="BB220" s="469" t="str">
        <f>IF(BB218=BB219,"OK","エラー")</f>
        <v>OK</v>
      </c>
      <c r="BC220" s="359"/>
      <c r="BD220" s="452"/>
      <c r="BF220" s="4" t="s">
        <v>260</v>
      </c>
      <c r="BH220" s="12"/>
      <c r="BM220" s="12"/>
      <c r="BQ220" s="462"/>
      <c r="BR220" s="12"/>
      <c r="BS220" s="12"/>
      <c r="BT220" s="12"/>
      <c r="BU220" s="12"/>
      <c r="BV220" s="12"/>
      <c r="BW220" s="12"/>
      <c r="BX220" s="4"/>
      <c r="BY220" s="4"/>
      <c r="BZ220" s="4"/>
      <c r="CA220" s="4"/>
      <c r="CB220" s="4"/>
      <c r="CC220" s="4"/>
      <c r="CD220" s="4"/>
      <c r="CE220" s="4"/>
      <c r="CF220" s="4"/>
      <c r="CG220" s="4"/>
      <c r="CH220" s="4"/>
      <c r="CI220" s="13"/>
    </row>
    <row r="221" spans="1:87" ht="18.75" customHeight="1">
      <c r="A221" s="58" t="s">
        <v>1</v>
      </c>
      <c r="B221" s="52"/>
      <c r="C221" s="189">
        <f>IF(H218&gt;0,$X$191,0)</f>
        <v>0</v>
      </c>
      <c r="D221" s="203" t="s">
        <v>6</v>
      </c>
      <c r="E221" s="60" t="s">
        <v>131</v>
      </c>
      <c r="F221" s="1204">
        <f>K215</f>
        <v>0</v>
      </c>
      <c r="G221" s="1204"/>
      <c r="H221" s="216" t="s">
        <v>5</v>
      </c>
      <c r="I221" s="1451" t="s">
        <v>14</v>
      </c>
      <c r="J221" s="1451"/>
      <c r="K221" s="1204">
        <f>C221*F221</f>
        <v>0</v>
      </c>
      <c r="L221" s="1204"/>
      <c r="M221" s="204" t="s">
        <v>6</v>
      </c>
      <c r="N221" s="204"/>
      <c r="O221" s="205"/>
      <c r="P221" s="205"/>
      <c r="Q221" s="63"/>
      <c r="R221" s="206"/>
      <c r="S221" s="59"/>
      <c r="T221" s="27"/>
      <c r="U221" s="207"/>
      <c r="V221" s="27"/>
      <c r="W221" s="188"/>
      <c r="X221" s="189"/>
      <c r="Y221" s="208"/>
      <c r="Z221" s="163"/>
      <c r="AC221" s="492"/>
      <c r="AD221" s="4"/>
      <c r="AE221" s="74"/>
      <c r="AF221" s="237"/>
      <c r="AG221" s="26"/>
      <c r="AH221" s="26"/>
      <c r="AI221" s="173"/>
      <c r="AJ221" s="173"/>
      <c r="AK221" s="173"/>
      <c r="AL221" s="173"/>
      <c r="AM221" s="173"/>
      <c r="AN221" s="387"/>
      <c r="AO221" s="386" t="s">
        <v>238</v>
      </c>
      <c r="AP221" s="1266" t="s">
        <v>223</v>
      </c>
      <c r="AQ221" s="1266"/>
      <c r="AR221" s="1266"/>
      <c r="AS221" s="387"/>
      <c r="AT221" s="1289" t="s">
        <v>238</v>
      </c>
      <c r="AU221" s="1289"/>
      <c r="AV221" s="387"/>
      <c r="AW221" s="387"/>
      <c r="AX221" s="359"/>
      <c r="AY221" s="438" t="s">
        <v>238</v>
      </c>
      <c r="AZ221" s="388"/>
      <c r="BA221" s="368"/>
      <c r="BB221" s="439"/>
      <c r="BC221" s="359"/>
      <c r="BD221" s="463" t="s">
        <v>238</v>
      </c>
      <c r="BE221" s="403"/>
      <c r="BF221" s="4" t="s">
        <v>261</v>
      </c>
      <c r="BH221" s="12"/>
      <c r="BI221" s="403" t="s">
        <v>238</v>
      </c>
      <c r="BJ221" s="403"/>
      <c r="BM221" s="12"/>
      <c r="BN221" s="403" t="s">
        <v>238</v>
      </c>
      <c r="BO221" s="403"/>
      <c r="BQ221" s="462"/>
      <c r="BR221" s="12"/>
      <c r="BS221" s="12"/>
      <c r="BT221" s="12"/>
      <c r="BU221" s="12"/>
      <c r="BV221" s="12"/>
      <c r="BW221" s="12"/>
      <c r="BX221" s="4"/>
      <c r="BY221" s="4"/>
      <c r="BZ221" s="4"/>
      <c r="CA221" s="4"/>
      <c r="CB221" s="4"/>
      <c r="CC221" s="4"/>
      <c r="CD221" s="4"/>
      <c r="CE221" s="4"/>
      <c r="CF221" s="4"/>
      <c r="CG221" s="4"/>
      <c r="CH221" s="4"/>
      <c r="CI221" s="13"/>
    </row>
    <row r="222" spans="1:87" ht="18.75" customHeight="1">
      <c r="D222" s="101"/>
      <c r="E222" s="70"/>
      <c r="G222" s="9"/>
      <c r="H222" s="102"/>
      <c r="I222" s="5"/>
      <c r="J222" s="9"/>
      <c r="K222" s="18"/>
      <c r="M222" s="103"/>
      <c r="P222" s="103"/>
      <c r="Q222" s="70"/>
      <c r="R222" s="104"/>
      <c r="S222" s="68"/>
      <c r="T222" s="68"/>
      <c r="U222" s="68"/>
      <c r="V222" s="18"/>
      <c r="AA222" s="73"/>
      <c r="AB222" s="73"/>
      <c r="AC222" s="225"/>
      <c r="AD222" s="73"/>
      <c r="AE222" s="73"/>
      <c r="AF222" s="233"/>
      <c r="AG222" s="4"/>
      <c r="AH222" s="4"/>
      <c r="AI222" s="173"/>
      <c r="AJ222" s="173"/>
      <c r="AK222" s="173"/>
      <c r="AL222" s="173"/>
      <c r="AM222" s="173"/>
      <c r="AN222" s="387"/>
      <c r="AO222" s="371" t="s">
        <v>219</v>
      </c>
      <c r="AP222" s="360"/>
      <c r="AQ222" s="399"/>
      <c r="AR222" s="399"/>
      <c r="AS222" s="387"/>
      <c r="AT222" s="1301" t="s">
        <v>220</v>
      </c>
      <c r="AU222" s="1301"/>
      <c r="AV222" s="1301"/>
      <c r="AW222" s="1301"/>
      <c r="AX222" s="359"/>
      <c r="AY222" s="431" t="s">
        <v>226</v>
      </c>
      <c r="AZ222" s="1281" t="s">
        <v>225</v>
      </c>
      <c r="BA222" s="1281"/>
      <c r="BB222" s="1282"/>
      <c r="BC222" s="359"/>
      <c r="BD222" s="1267" t="s">
        <v>264</v>
      </c>
      <c r="BE222" s="1268"/>
      <c r="BF222" s="1268"/>
      <c r="BG222" s="1268"/>
      <c r="BH222" s="12"/>
      <c r="BI222" s="440" t="s">
        <v>265</v>
      </c>
      <c r="BJ222" s="1269" t="s">
        <v>263</v>
      </c>
      <c r="BK222" s="1269"/>
      <c r="BL222" s="1269"/>
      <c r="BM222" s="12"/>
      <c r="BN222" s="12"/>
      <c r="BO222" s="143" t="s">
        <v>266</v>
      </c>
      <c r="BP222" s="12" t="s">
        <v>88</v>
      </c>
      <c r="BQ222" s="449"/>
      <c r="BR222" s="12"/>
      <c r="BS222" s="12"/>
      <c r="BT222" s="12"/>
      <c r="BU222" s="12"/>
      <c r="BV222" s="12"/>
      <c r="BW222" s="12"/>
      <c r="BX222" s="4"/>
      <c r="BY222" s="4"/>
      <c r="BZ222" s="4"/>
      <c r="CA222" s="4"/>
      <c r="CB222" s="4"/>
      <c r="CC222" s="4"/>
      <c r="CD222" s="4"/>
      <c r="CE222" s="4"/>
      <c r="CF222" s="4"/>
      <c r="CG222" s="4"/>
      <c r="CH222" s="4"/>
      <c r="CI222" s="13"/>
    </row>
    <row r="223" spans="1:87" ht="18.75" customHeight="1">
      <c r="A223" s="196" t="s">
        <v>54</v>
      </c>
      <c r="B223" s="1382">
        <f>IF(I223=1,B45,0)</f>
        <v>0</v>
      </c>
      <c r="C223" s="1382"/>
      <c r="D223" s="1382"/>
      <c r="E223" s="198" t="s">
        <v>11</v>
      </c>
      <c r="F223" s="1412" t="s">
        <v>57</v>
      </c>
      <c r="G223" s="1412"/>
      <c r="H223" s="1412"/>
      <c r="I223" s="1449">
        <f>IF(I45=1,1,0)</f>
        <v>0</v>
      </c>
      <c r="J223" s="1450"/>
      <c r="K223" s="1373">
        <f>IF($AG$2&gt;0,0,IF((X225+X226+X227+X228+X229+Z224+Z225+Z226+Z227)&lt;0,"＊＊エラー介護該当者は①から入力＊＊",0))</f>
        <v>0</v>
      </c>
      <c r="L223" s="1374"/>
      <c r="M223" s="1374"/>
      <c r="N223" s="1374"/>
      <c r="O223" s="1374"/>
      <c r="P223" s="1374"/>
      <c r="Q223" s="1374"/>
      <c r="R223" s="1374"/>
      <c r="S223" s="1375"/>
      <c r="T223" s="197" t="s">
        <v>47</v>
      </c>
      <c r="U223" s="1383">
        <f>IF(U228&gt;0,"介護分",0)</f>
        <v>0</v>
      </c>
      <c r="V223" s="1384"/>
      <c r="W223" s="1385" t="s">
        <v>46</v>
      </c>
      <c r="X223" s="1164"/>
      <c r="Y223" s="1164"/>
      <c r="Z223" s="1165"/>
      <c r="AA223" s="26"/>
      <c r="AB223" s="26"/>
      <c r="AC223" s="494"/>
      <c r="AD223" s="26"/>
      <c r="AE223" s="489"/>
      <c r="AF223" s="238" t="s">
        <v>117</v>
      </c>
      <c r="AG223" s="4"/>
      <c r="AH223" s="276">
        <f>IF(K225=0,0,IF(K225&lt;12,1,0))</f>
        <v>0</v>
      </c>
      <c r="AI223" s="173"/>
      <c r="AJ223" s="173"/>
      <c r="AK223" s="173"/>
      <c r="AL223" s="173"/>
      <c r="AM223" s="173"/>
      <c r="AN223" s="400" t="s">
        <v>147</v>
      </c>
      <c r="AO223" s="1320" t="s">
        <v>46</v>
      </c>
      <c r="AP223" s="1287"/>
      <c r="AQ223" s="1396">
        <f>IF(AR50=0,0,ROUNDDOWN(AR229/AR50,8))</f>
        <v>0</v>
      </c>
      <c r="AR223" s="1397"/>
      <c r="AS223" s="387"/>
      <c r="AT223" s="1320" t="s">
        <v>215</v>
      </c>
      <c r="AU223" s="1287"/>
      <c r="AV223" s="1284">
        <f>IF($AG$184&gt;0,0,AR229-AR228)</f>
        <v>0</v>
      </c>
      <c r="AW223" s="1285"/>
      <c r="AX223" s="359"/>
      <c r="AY223" s="1286" t="s">
        <v>46</v>
      </c>
      <c r="AZ223" s="1287"/>
      <c r="BA223" s="1456">
        <f>IF(R225+R228=0,0,IF(K226&gt;K225,"期割がアンマッチ使用禁止↓",0))</f>
        <v>0</v>
      </c>
      <c r="BB223" s="1457"/>
      <c r="BC223" s="359"/>
      <c r="BD223" s="1272" t="s">
        <v>46</v>
      </c>
      <c r="BE223" s="1273"/>
      <c r="BF223" s="1270"/>
      <c r="BG223" s="1271"/>
      <c r="BH223" s="12"/>
      <c r="BI223" s="1139" t="s">
        <v>46</v>
      </c>
      <c r="BJ223" s="1273"/>
      <c r="BK223" s="1270"/>
      <c r="BL223" s="1271"/>
      <c r="BM223" s="12"/>
      <c r="BN223" s="1139" t="s">
        <v>46</v>
      </c>
      <c r="BO223" s="1273"/>
      <c r="BP223" s="1270"/>
      <c r="BQ223" s="1278"/>
      <c r="BR223" s="12"/>
      <c r="BS223" s="12"/>
      <c r="BT223" s="12"/>
      <c r="BU223" s="12"/>
      <c r="BV223" s="12"/>
      <c r="BW223" s="12"/>
      <c r="BX223" s="32"/>
      <c r="BY223" s="33" t="str">
        <f>BY213</f>
        <v>料率</v>
      </c>
      <c r="BZ223" s="33">
        <f>BZ213</f>
        <v>7</v>
      </c>
      <c r="CA223" s="33">
        <f>CA213</f>
        <v>5</v>
      </c>
      <c r="CB223" s="33">
        <f>CB213</f>
        <v>2</v>
      </c>
      <c r="CC223" s="4"/>
      <c r="CD223" s="4"/>
      <c r="CE223" s="4"/>
      <c r="CF223" s="4"/>
      <c r="CG223" s="4"/>
      <c r="CH223" s="4"/>
      <c r="CI223" s="13"/>
    </row>
    <row r="224" spans="1:87" ht="18.75" customHeight="1">
      <c r="A224" s="165"/>
      <c r="B224" s="12"/>
      <c r="C224" s="75" t="s">
        <v>33</v>
      </c>
      <c r="D224" s="12"/>
      <c r="E224" s="12"/>
      <c r="F224" s="12"/>
      <c r="G224" s="12"/>
      <c r="H224" s="50"/>
      <c r="I224" s="93"/>
      <c r="J224" s="12"/>
      <c r="K224" s="76" t="s">
        <v>9</v>
      </c>
      <c r="L224" s="12"/>
      <c r="M224" s="1409">
        <f>IF(R225+R228=0, 0, IF(K226=K225,0,IF(K226&gt;K225,"年度途中で資格変動有？保険料内訳のみ使用可能",0)))</f>
        <v>0</v>
      </c>
      <c r="N224" s="1409"/>
      <c r="O224" s="1409"/>
      <c r="P224" s="1409"/>
      <c r="Q224" s="1409"/>
      <c r="R224" s="1409"/>
      <c r="S224" s="1410"/>
      <c r="T224" s="72" t="s">
        <v>30</v>
      </c>
      <c r="U224" s="105">
        <f>R225+R228</f>
        <v>0</v>
      </c>
      <c r="V224" s="88" t="s">
        <v>6</v>
      </c>
      <c r="W224" s="80" t="s">
        <v>34</v>
      </c>
      <c r="X224" s="29">
        <f t="shared" ref="X224:X229" si="129">IF($AH$13&gt;0,0,AZ224)</f>
        <v>0</v>
      </c>
      <c r="Y224" s="80" t="s">
        <v>39</v>
      </c>
      <c r="Z224" s="31">
        <f>IF($AH$13&gt;0,0,BB224)</f>
        <v>0</v>
      </c>
      <c r="AA224" s="26"/>
      <c r="AB224" s="26"/>
      <c r="AC224" s="494"/>
      <c r="AD224" s="26"/>
      <c r="AE224" s="489"/>
      <c r="AF224" s="219">
        <f>AF225+AF228+AF231</f>
        <v>0</v>
      </c>
      <c r="AG224" s="73"/>
      <c r="AH224" s="191"/>
      <c r="AI224" s="173"/>
      <c r="AJ224" s="173"/>
      <c r="AK224" s="173"/>
      <c r="AL224" s="173"/>
      <c r="AM224" s="173"/>
      <c r="AN224" s="387"/>
      <c r="AO224" s="361" t="s">
        <v>34</v>
      </c>
      <c r="AP224" s="390">
        <f>ROUND(AP46*AQ223,0)</f>
        <v>0</v>
      </c>
      <c r="AQ224" s="363" t="s">
        <v>39</v>
      </c>
      <c r="AR224" s="391">
        <f>ROUND(AR46*AQ223,0)</f>
        <v>0</v>
      </c>
      <c r="AS224" s="387"/>
      <c r="AT224" s="364" t="s">
        <v>34</v>
      </c>
      <c r="AU224" s="390">
        <f>IF(AV223=0,0,IF(AV223&gt;=10,1,IF(AV223&lt;=-10,-1,0)))</f>
        <v>0</v>
      </c>
      <c r="AV224" s="392" t="s">
        <v>39</v>
      </c>
      <c r="AW224" s="391">
        <f>IF(AV223=0,0,IF(AV223&gt;=4,1,IF(AV223&lt;=-4,-1,0)))</f>
        <v>0</v>
      </c>
      <c r="AX224" s="359"/>
      <c r="AY224" s="432" t="s">
        <v>34</v>
      </c>
      <c r="AZ224" s="362">
        <f t="shared" ref="AZ224:AZ229" si="130">IF($AG$2&gt;0,"限度超過",AP224+AU224)</f>
        <v>0</v>
      </c>
      <c r="BA224" s="363" t="s">
        <v>39</v>
      </c>
      <c r="BB224" s="433">
        <f>IF($AG$2&gt;0,"限度超過",AR224+AW224)</f>
        <v>0</v>
      </c>
      <c r="BC224" s="359"/>
      <c r="BD224" s="451" t="s">
        <v>34</v>
      </c>
      <c r="BE224" s="81">
        <f t="shared" ref="BE224:BE229" si="131">BE214</f>
        <v>0</v>
      </c>
      <c r="BF224" s="82" t="s">
        <v>39</v>
      </c>
      <c r="BG224" s="29">
        <f>BG214</f>
        <v>0</v>
      </c>
      <c r="BH224" s="12"/>
      <c r="BI224" s="80" t="s">
        <v>34</v>
      </c>
      <c r="BJ224" s="29">
        <f t="shared" ref="BJ224:BJ229" si="132">IF($A$265=$L$265,"限度超過",IF(BE224=0,0,BE224/$S$183))</f>
        <v>0</v>
      </c>
      <c r="BK224" s="80" t="s">
        <v>39</v>
      </c>
      <c r="BL224" s="29">
        <f>IF($A$265=$L$265,"限度超過",IF(BG224=0,0,BG224/$S$183))</f>
        <v>0</v>
      </c>
      <c r="BM224" s="12"/>
      <c r="BN224" s="30" t="s">
        <v>34</v>
      </c>
      <c r="BO224" s="29">
        <f t="shared" ref="BO224:BO229" si="133">IF($A$265=$L$265,"限度超過",IF($S$183&lt;=3,0,BJ224))</f>
        <v>0</v>
      </c>
      <c r="BP224" s="80" t="s">
        <v>39</v>
      </c>
      <c r="BQ224" s="460">
        <f>IF($A$265=$L$265,"限度超過",IF($S$183&lt;=3,0,BL224))</f>
        <v>0</v>
      </c>
      <c r="BR224" s="12"/>
      <c r="BS224" s="12"/>
      <c r="BT224" s="12"/>
      <c r="BU224" s="12"/>
      <c r="BV224" s="12"/>
      <c r="BW224" s="12"/>
      <c r="BX224" s="32" t="s">
        <v>17</v>
      </c>
      <c r="BY224" s="44">
        <v>0</v>
      </c>
      <c r="BZ224" s="45">
        <f>$CF$186</f>
        <v>5440</v>
      </c>
      <c r="CA224" s="45">
        <f>$CG$186</f>
        <v>3880</v>
      </c>
      <c r="CB224" s="45">
        <f>$CH$186</f>
        <v>1560</v>
      </c>
      <c r="CC224" s="4"/>
      <c r="CD224" s="4"/>
      <c r="CE224" s="4"/>
      <c r="CF224" s="4"/>
      <c r="CG224" s="4"/>
      <c r="CH224" s="4"/>
      <c r="CI224" s="13"/>
    </row>
    <row r="225" spans="1:87" ht="18.75" customHeight="1">
      <c r="A225" s="1421" t="s">
        <v>0</v>
      </c>
      <c r="B225" s="1448" t="s">
        <v>129</v>
      </c>
      <c r="C225" s="1376">
        <f>IF(K225&gt;0,C47,0)</f>
        <v>0</v>
      </c>
      <c r="D225" s="855" t="s">
        <v>58</v>
      </c>
      <c r="E225" s="1416">
        <f>IF(H228&gt;0,$CE$189, 0)</f>
        <v>0</v>
      </c>
      <c r="F225" s="1380" t="s">
        <v>22</v>
      </c>
      <c r="G225" s="855" t="s">
        <v>59</v>
      </c>
      <c r="H225" s="85">
        <f>IF(H228&gt;0,$CE$185,0)</f>
        <v>0</v>
      </c>
      <c r="I225" s="1277" t="s">
        <v>22</v>
      </c>
      <c r="J225" s="855" t="s">
        <v>59</v>
      </c>
      <c r="K225" s="51">
        <f>入力画面!I30</f>
        <v>0</v>
      </c>
      <c r="L225" s="52" t="s">
        <v>5</v>
      </c>
      <c r="M225" s="1380"/>
      <c r="N225" s="1407"/>
      <c r="O225" s="86"/>
      <c r="P225" s="1377" t="s">
        <v>130</v>
      </c>
      <c r="Q225" s="1377"/>
      <c r="R225" s="1403">
        <f>ROUNDDOWN(IF(((C225-E225)*H225/H226)*K225/K226&lt;0,0,((C225-E225)*H225/H226)*K225/K226),0)</f>
        <v>0</v>
      </c>
      <c r="S225" s="1408" t="s">
        <v>6</v>
      </c>
      <c r="T225" s="72" t="s">
        <v>1</v>
      </c>
      <c r="U225" s="105">
        <f>IF(H228=0,0,K231)</f>
        <v>0</v>
      </c>
      <c r="V225" s="88" t="s">
        <v>6</v>
      </c>
      <c r="W225" s="30" t="s">
        <v>35</v>
      </c>
      <c r="X225" s="29">
        <f t="shared" si="129"/>
        <v>0</v>
      </c>
      <c r="Y225" s="30" t="s">
        <v>40</v>
      </c>
      <c r="Z225" s="31">
        <f>IF($AH$13&gt;0,0,BB225)</f>
        <v>0</v>
      </c>
      <c r="AA225" s="26"/>
      <c r="AB225" s="26"/>
      <c r="AC225" s="494"/>
      <c r="AD225" s="26"/>
      <c r="AE225" s="489"/>
      <c r="AF225" s="1360">
        <f>ROUNDDOWN(IF(((C225-E225)*H225/H226)&lt;0,0,((C225-E225)*H225/H226)),0)</f>
        <v>0</v>
      </c>
      <c r="AG225" s="26"/>
      <c r="AH225" s="26"/>
      <c r="AI225" s="174"/>
      <c r="AJ225" s="174"/>
      <c r="AK225" s="174"/>
      <c r="AL225" s="174"/>
      <c r="AM225" s="174"/>
      <c r="AN225" s="389"/>
      <c r="AO225" s="364" t="s">
        <v>35</v>
      </c>
      <c r="AP225" s="390">
        <f>ROUND(AP47*AQ223,0)</f>
        <v>0</v>
      </c>
      <c r="AQ225" s="363" t="s">
        <v>40</v>
      </c>
      <c r="AR225" s="391">
        <f>ROUND(AR47*AQ223,0)</f>
        <v>0</v>
      </c>
      <c r="AS225" s="389"/>
      <c r="AT225" s="364" t="s">
        <v>35</v>
      </c>
      <c r="AU225" s="390">
        <f>IF(AV223=0,0,IF(AV223&gt;=9,1,IF(AV223&lt;=-9,-1,0)))</f>
        <v>0</v>
      </c>
      <c r="AV225" s="392" t="s">
        <v>40</v>
      </c>
      <c r="AW225" s="391">
        <f>IF(AV223=0,0,IF(AV223&gt;=3,1,IF(AV223&lt;=-3,-1,0)))</f>
        <v>0</v>
      </c>
      <c r="AX225" s="359"/>
      <c r="AY225" s="434" t="s">
        <v>35</v>
      </c>
      <c r="AZ225" s="362">
        <f t="shared" si="130"/>
        <v>0</v>
      </c>
      <c r="BA225" s="363" t="s">
        <v>40</v>
      </c>
      <c r="BB225" s="433">
        <f>IF($AG$2&gt;0,"限度超過",AR225+AW225)</f>
        <v>0</v>
      </c>
      <c r="BC225" s="359"/>
      <c r="BD225" s="451" t="s">
        <v>35</v>
      </c>
      <c r="BE225" s="81">
        <f t="shared" si="131"/>
        <v>0</v>
      </c>
      <c r="BF225" s="82" t="s">
        <v>40</v>
      </c>
      <c r="BG225" s="29">
        <f>BG215</f>
        <v>0</v>
      </c>
      <c r="BH225" s="12"/>
      <c r="BI225" s="30" t="s">
        <v>35</v>
      </c>
      <c r="BJ225" s="29">
        <f t="shared" si="132"/>
        <v>0</v>
      </c>
      <c r="BK225" s="30" t="s">
        <v>40</v>
      </c>
      <c r="BL225" s="29">
        <f>IF($A$265=$L$265,"限度超過",IF(BG225=0,0,BG225/$S$183))</f>
        <v>0</v>
      </c>
      <c r="BM225" s="12"/>
      <c r="BN225" s="30" t="s">
        <v>35</v>
      </c>
      <c r="BO225" s="29">
        <f t="shared" si="133"/>
        <v>0</v>
      </c>
      <c r="BP225" s="30" t="s">
        <v>40</v>
      </c>
      <c r="BQ225" s="460">
        <f>IF($A$265=$L$265,"限度超過",IF($S$183&lt;=3,0,BL225))</f>
        <v>0</v>
      </c>
      <c r="BR225" s="12"/>
      <c r="BS225" s="12"/>
      <c r="BT225" s="12"/>
      <c r="BU225" s="12"/>
      <c r="BV225" s="12"/>
      <c r="BW225" s="12"/>
      <c r="BX225" s="32" t="s">
        <v>8</v>
      </c>
      <c r="BY225" s="45">
        <f>K218</f>
        <v>0</v>
      </c>
      <c r="BZ225" s="45">
        <f t="shared" ref="BZ225:CB227" si="134">BY225</f>
        <v>0</v>
      </c>
      <c r="CA225" s="45">
        <f t="shared" si="134"/>
        <v>0</v>
      </c>
      <c r="CB225" s="45">
        <f t="shared" si="134"/>
        <v>0</v>
      </c>
      <c r="CC225" s="4"/>
      <c r="CD225" s="4"/>
      <c r="CE225" s="4"/>
      <c r="CF225" s="4"/>
      <c r="CG225" s="4"/>
      <c r="CH225" s="4"/>
      <c r="CI225" s="13"/>
    </row>
    <row r="226" spans="1:87" ht="18.75" customHeight="1">
      <c r="A226" s="1421"/>
      <c r="B226" s="1448"/>
      <c r="C226" s="1376"/>
      <c r="D226" s="855"/>
      <c r="E226" s="1416"/>
      <c r="F226" s="1380"/>
      <c r="G226" s="855"/>
      <c r="H226" s="39">
        <v>100</v>
      </c>
      <c r="I226" s="1277"/>
      <c r="J226" s="855"/>
      <c r="K226" s="55">
        <v>12</v>
      </c>
      <c r="L226" s="12" t="s">
        <v>5</v>
      </c>
      <c r="M226" s="1380"/>
      <c r="N226" s="1407"/>
      <c r="O226" s="86"/>
      <c r="P226" s="1377"/>
      <c r="Q226" s="1377"/>
      <c r="R226" s="1403"/>
      <c r="S226" s="1408"/>
      <c r="T226" s="72" t="s">
        <v>29</v>
      </c>
      <c r="U226" s="105">
        <f>U224+U225</f>
        <v>0</v>
      </c>
      <c r="V226" s="88" t="s">
        <v>6</v>
      </c>
      <c r="W226" s="30" t="s">
        <v>36</v>
      </c>
      <c r="X226" s="29">
        <f t="shared" si="129"/>
        <v>0</v>
      </c>
      <c r="Y226" s="30" t="s">
        <v>41</v>
      </c>
      <c r="Z226" s="31">
        <f>IF($AH$13&gt;0,0,BB226)</f>
        <v>0</v>
      </c>
      <c r="AA226" s="26"/>
      <c r="AB226" s="26"/>
      <c r="AC226" s="494"/>
      <c r="AD226" s="26"/>
      <c r="AE226" s="489"/>
      <c r="AF226" s="1360"/>
      <c r="AG226" s="26"/>
      <c r="AI226" s="174"/>
      <c r="AJ226" s="174"/>
      <c r="AK226" s="174"/>
      <c r="AL226" s="174"/>
      <c r="AM226" s="174"/>
      <c r="AN226" s="389"/>
      <c r="AO226" s="364" t="s">
        <v>36</v>
      </c>
      <c r="AP226" s="390">
        <f>ROUND(AP48*AQ223,0)</f>
        <v>0</v>
      </c>
      <c r="AQ226" s="363" t="s">
        <v>41</v>
      </c>
      <c r="AR226" s="391">
        <f>ROUND(AR48*AQ223,0)</f>
        <v>0</v>
      </c>
      <c r="AS226" s="389"/>
      <c r="AT226" s="364" t="s">
        <v>36</v>
      </c>
      <c r="AU226" s="390">
        <f>IF(AV223=0,0,IF(AV223&gt;=8,1,IF(AV223&lt;=-8,-1,0)))</f>
        <v>0</v>
      </c>
      <c r="AV226" s="392" t="s">
        <v>41</v>
      </c>
      <c r="AW226" s="391">
        <f>IF(AV223=0,0,IF(AV223&gt;=2,1,IF(AV223&lt;=-2,-1,0)))</f>
        <v>0</v>
      </c>
      <c r="AX226" s="359"/>
      <c r="AY226" s="434" t="s">
        <v>36</v>
      </c>
      <c r="AZ226" s="362">
        <f t="shared" si="130"/>
        <v>0</v>
      </c>
      <c r="BA226" s="363" t="s">
        <v>41</v>
      </c>
      <c r="BB226" s="433">
        <f>IF($AG$2&gt;0,"限度超過",AR226+AW226)</f>
        <v>0</v>
      </c>
      <c r="BC226" s="359"/>
      <c r="BD226" s="451" t="s">
        <v>36</v>
      </c>
      <c r="BE226" s="81">
        <f t="shared" si="131"/>
        <v>0</v>
      </c>
      <c r="BF226" s="82" t="s">
        <v>41</v>
      </c>
      <c r="BG226" s="29">
        <f>BG216</f>
        <v>0</v>
      </c>
      <c r="BH226" s="12"/>
      <c r="BI226" s="30" t="s">
        <v>36</v>
      </c>
      <c r="BJ226" s="29">
        <f t="shared" si="132"/>
        <v>0</v>
      </c>
      <c r="BK226" s="30" t="s">
        <v>41</v>
      </c>
      <c r="BL226" s="29">
        <f>IF($A$265=$L$265,"限度超過",IF(BG226=0,0,BG226/$S$183))</f>
        <v>0</v>
      </c>
      <c r="BM226" s="12"/>
      <c r="BN226" s="30" t="s">
        <v>36</v>
      </c>
      <c r="BO226" s="29">
        <f t="shared" si="133"/>
        <v>0</v>
      </c>
      <c r="BP226" s="30" t="s">
        <v>41</v>
      </c>
      <c r="BQ226" s="460">
        <f>IF($A$265=$L$265,"限度超過",IF($S$183&lt;=3,0,BL226))</f>
        <v>0</v>
      </c>
      <c r="BR226" s="12"/>
      <c r="BS226" s="12"/>
      <c r="BT226" s="12"/>
      <c r="BU226" s="12"/>
      <c r="BV226" s="12"/>
      <c r="BW226" s="12"/>
      <c r="BX226" s="32" t="s">
        <v>25</v>
      </c>
      <c r="BY226" s="45">
        <f>K219</f>
        <v>0</v>
      </c>
      <c r="BZ226" s="45">
        <f t="shared" si="134"/>
        <v>0</v>
      </c>
      <c r="CA226" s="45">
        <f t="shared" si="134"/>
        <v>0</v>
      </c>
      <c r="CB226" s="45">
        <f t="shared" si="134"/>
        <v>0</v>
      </c>
      <c r="CC226" s="4"/>
      <c r="CD226" s="4"/>
      <c r="CE226" s="4"/>
      <c r="CF226" s="4"/>
      <c r="CG226" s="4"/>
      <c r="CH226" s="4"/>
      <c r="CI226" s="13"/>
    </row>
    <row r="227" spans="1:87" ht="18.75" customHeight="1">
      <c r="A227" s="165"/>
      <c r="B227" s="12"/>
      <c r="C227" s="50"/>
      <c r="D227" s="12"/>
      <c r="E227" s="12"/>
      <c r="F227" s="12"/>
      <c r="G227" s="12"/>
      <c r="H227" s="91"/>
      <c r="I227" s="75"/>
      <c r="J227" s="75"/>
      <c r="K227" s="92"/>
      <c r="L227" s="75"/>
      <c r="M227" s="93"/>
      <c r="N227" s="94"/>
      <c r="O227" s="42">
        <f>IF(H228=0,0,$D$183)</f>
        <v>0</v>
      </c>
      <c r="P227" s="466">
        <f>IF(O228=0,0,"軽減額")</f>
        <v>0</v>
      </c>
      <c r="Q227" s="12"/>
      <c r="R227" s="95"/>
      <c r="S227" s="49"/>
      <c r="T227" s="96" t="s">
        <v>31</v>
      </c>
      <c r="U227" s="105">
        <f>ROUNDDOWN(U226,-2)</f>
        <v>0</v>
      </c>
      <c r="V227" s="88" t="s">
        <v>6</v>
      </c>
      <c r="W227" s="30" t="s">
        <v>43</v>
      </c>
      <c r="X227" s="29">
        <f t="shared" si="129"/>
        <v>0</v>
      </c>
      <c r="Y227" s="30" t="s">
        <v>42</v>
      </c>
      <c r="Z227" s="31">
        <f>IF($AH$13&gt;0,0,BB227)</f>
        <v>0</v>
      </c>
      <c r="AA227" s="26"/>
      <c r="AB227" s="26"/>
      <c r="AC227" s="494"/>
      <c r="AD227" s="26"/>
      <c r="AE227" s="500" t="str">
        <f>IF($AH$13&gt;0,"－",IF($AG$2&gt;0,"限度超過",IF(U228=Z228,"OK","ｱﾝﾏｯﾁ")))</f>
        <v>OK</v>
      </c>
      <c r="AF227" s="499"/>
      <c r="AG227" s="26"/>
      <c r="AI227" s="174"/>
      <c r="AJ227" s="174"/>
      <c r="AK227" s="174"/>
      <c r="AL227" s="174"/>
      <c r="AM227" s="174"/>
      <c r="AN227" s="389"/>
      <c r="AO227" s="364" t="s">
        <v>43</v>
      </c>
      <c r="AP227" s="390">
        <f>ROUND(AP49*AQ223,0)</f>
        <v>0</v>
      </c>
      <c r="AQ227" s="363" t="s">
        <v>42</v>
      </c>
      <c r="AR227" s="391">
        <f>ROUND(AR49*AQ223,0)</f>
        <v>0</v>
      </c>
      <c r="AS227" s="389"/>
      <c r="AT227" s="364" t="s">
        <v>43</v>
      </c>
      <c r="AU227" s="390">
        <f>IF(AV223=0,0,IF(AV223&gt;=7,1,IF(AV223&lt;=-7,-1,0)))</f>
        <v>0</v>
      </c>
      <c r="AV227" s="392" t="s">
        <v>42</v>
      </c>
      <c r="AW227" s="391">
        <f>IF(AV223=0,0,IF(AV223&gt;=1,1,IF(AV223&lt;=-1,-1,0)))</f>
        <v>0</v>
      </c>
      <c r="AX227" s="359"/>
      <c r="AY227" s="434" t="s">
        <v>43</v>
      </c>
      <c r="AZ227" s="362">
        <f t="shared" si="130"/>
        <v>0</v>
      </c>
      <c r="BA227" s="363" t="s">
        <v>42</v>
      </c>
      <c r="BB227" s="433">
        <f>IF($AG$2&gt;0,"限度超過",AR227+AW227)</f>
        <v>0</v>
      </c>
      <c r="BC227" s="359"/>
      <c r="BD227" s="451" t="s">
        <v>43</v>
      </c>
      <c r="BE227" s="81">
        <f t="shared" si="131"/>
        <v>0</v>
      </c>
      <c r="BF227" s="82" t="s">
        <v>42</v>
      </c>
      <c r="BG227" s="29">
        <f>BG217</f>
        <v>0</v>
      </c>
      <c r="BH227" s="12"/>
      <c r="BI227" s="30" t="s">
        <v>43</v>
      </c>
      <c r="BJ227" s="29">
        <f t="shared" si="132"/>
        <v>0</v>
      </c>
      <c r="BK227" s="30" t="s">
        <v>42</v>
      </c>
      <c r="BL227" s="29">
        <f>IF($A$265=$L$265,"限度超過",IF(BG227=0,0,BG227/$S$183))</f>
        <v>0</v>
      </c>
      <c r="BM227" s="12"/>
      <c r="BN227" s="30" t="s">
        <v>43</v>
      </c>
      <c r="BO227" s="29">
        <f t="shared" si="133"/>
        <v>0</v>
      </c>
      <c r="BP227" s="30" t="s">
        <v>42</v>
      </c>
      <c r="BQ227" s="460">
        <f>IF($A$265=$L$265,"限度超過",IF($S$183&lt;=3,0,BL227))</f>
        <v>0</v>
      </c>
      <c r="BR227" s="12"/>
      <c r="BS227" s="12"/>
      <c r="BT227" s="12"/>
      <c r="BU227" s="12"/>
      <c r="BV227" s="12"/>
      <c r="BW227" s="12"/>
      <c r="BX227" s="32" t="s">
        <v>26</v>
      </c>
      <c r="BY227" s="26">
        <f>H218</f>
        <v>0</v>
      </c>
      <c r="BZ227" s="99">
        <f t="shared" si="134"/>
        <v>0</v>
      </c>
      <c r="CA227" s="99">
        <f t="shared" si="134"/>
        <v>0</v>
      </c>
      <c r="CB227" s="99">
        <f t="shared" si="134"/>
        <v>0</v>
      </c>
      <c r="CC227" s="4"/>
      <c r="CD227" s="4"/>
      <c r="CE227" s="4"/>
      <c r="CF227" s="4"/>
      <c r="CG227" s="4"/>
      <c r="CH227" s="4"/>
      <c r="CI227" s="13"/>
    </row>
    <row r="228" spans="1:87" ht="18.75" customHeight="1">
      <c r="A228" s="1421" t="s">
        <v>10</v>
      </c>
      <c r="B228" s="12"/>
      <c r="C228" s="12"/>
      <c r="D228" s="1419" t="s">
        <v>7</v>
      </c>
      <c r="E228" s="1416">
        <f>IF(H228&gt;0,$CE$186,0)</f>
        <v>0</v>
      </c>
      <c r="F228" s="97"/>
      <c r="G228" s="855" t="s">
        <v>59</v>
      </c>
      <c r="H228" s="1413">
        <f>IF(B223=0,0,SUBTOTAL(3,B223))</f>
        <v>0</v>
      </c>
      <c r="I228" s="1277" t="s">
        <v>22</v>
      </c>
      <c r="J228" s="855" t="s">
        <v>59</v>
      </c>
      <c r="K228" s="51">
        <f>IF(H228&gt;0,K225,0)</f>
        <v>0</v>
      </c>
      <c r="L228" s="52" t="s">
        <v>5</v>
      </c>
      <c r="M228" s="1407" t="s">
        <v>122</v>
      </c>
      <c r="N228" s="1402">
        <f>IF(O228=0,0,"―")</f>
        <v>0</v>
      </c>
      <c r="O228" s="1404">
        <f>IF(H228&lt;=0,0,IF($D$183=0,0,IF($D$183=7,BZ238,IF($D$183=5,CA238,IF($D$183=2,CB238,"間違い!")))))</f>
        <v>0</v>
      </c>
      <c r="P228" s="1405"/>
      <c r="Q228" s="1377" t="s">
        <v>130</v>
      </c>
      <c r="R228" s="1403">
        <f>IF(H228&gt;0,IF(K225=0,0,ROUNDDOWN(((E228*H228)*K228/K229)-O228,0)),0)</f>
        <v>0</v>
      </c>
      <c r="S228" s="1408" t="s">
        <v>6</v>
      </c>
      <c r="T228" s="1388" t="s">
        <v>32</v>
      </c>
      <c r="U228" s="1387">
        <f>IF($L$265=$A$265,"限度超過",U226)</f>
        <v>0</v>
      </c>
      <c r="V228" s="1389" t="s">
        <v>6</v>
      </c>
      <c r="W228" s="30" t="s">
        <v>37</v>
      </c>
      <c r="X228" s="29">
        <f t="shared" si="129"/>
        <v>0</v>
      </c>
      <c r="Y228" s="1199" t="s">
        <v>44</v>
      </c>
      <c r="Z228" s="1394">
        <f>IF($AH$13&gt;0,0,BB228)</f>
        <v>0</v>
      </c>
      <c r="AA228" s="4"/>
      <c r="AB228" s="4"/>
      <c r="AC228" s="492"/>
      <c r="AD228" s="4"/>
      <c r="AE228" s="500" t="str">
        <f>IF($AG$2&gt;0,"限度超過",IF(X224+X225+X226+X227+X228+X229+Z224+Z225+Z226+Z227=Z228,"OK","エラー"))</f>
        <v>OK</v>
      </c>
      <c r="AF228" s="1361">
        <f>IF(H228&gt;0,IF(K225=0,0,ROUNDDOWN((E228*H228)-O228,0)),0)</f>
        <v>0</v>
      </c>
      <c r="AG228" s="26"/>
      <c r="AH228" s="26"/>
      <c r="AI228" s="174"/>
      <c r="AJ228" s="174"/>
      <c r="AK228" s="174"/>
      <c r="AL228" s="174"/>
      <c r="AM228" s="174"/>
      <c r="AN228" s="389"/>
      <c r="AO228" s="364" t="s">
        <v>37</v>
      </c>
      <c r="AP228" s="390">
        <f>ROUND(AP50*AQ223,0)</f>
        <v>0</v>
      </c>
      <c r="AQ228" s="365" t="s">
        <v>44</v>
      </c>
      <c r="AR228" s="366">
        <f>AP224+AP225+AP226+AP227+AP228+AP229+AR224+AR225+AR226+AR227</f>
        <v>0</v>
      </c>
      <c r="AS228" s="389"/>
      <c r="AT228" s="364" t="s">
        <v>37</v>
      </c>
      <c r="AU228" s="390">
        <f>IF(AV223=0,0,IF(AV223&gt;=6,1,IF(AV223&lt;=-6,-1,0)))</f>
        <v>0</v>
      </c>
      <c r="AV228" s="394" t="s">
        <v>44</v>
      </c>
      <c r="AW228" s="395">
        <f>AU224+AU225+AU226+AU227+AU228+AU229+AW224+AW225+AW226+AW227</f>
        <v>0</v>
      </c>
      <c r="AX228" s="359"/>
      <c r="AY228" s="434" t="s">
        <v>37</v>
      </c>
      <c r="AZ228" s="362">
        <f t="shared" si="130"/>
        <v>0</v>
      </c>
      <c r="BA228" s="365" t="s">
        <v>44</v>
      </c>
      <c r="BB228" s="435">
        <f>IF($AG$2&gt;0,"限度超過",AZ224+AZ225+AZ226+AZ227+AZ228+AZ229+BB224+BB225+BB226+BB227)</f>
        <v>0</v>
      </c>
      <c r="BC228" s="359"/>
      <c r="BD228" s="451" t="s">
        <v>37</v>
      </c>
      <c r="BE228" s="81">
        <f t="shared" si="131"/>
        <v>0</v>
      </c>
      <c r="BF228" s="443" t="s">
        <v>44</v>
      </c>
      <c r="BG228" s="29">
        <f>IF($A$265=$L$265,"限度超過",BE224+BE225+BE226+BE227+BE228+BE229+BG224+BG225+BG226+BG227)</f>
        <v>0</v>
      </c>
      <c r="BH228" s="12"/>
      <c r="BI228" s="30" t="s">
        <v>37</v>
      </c>
      <c r="BJ228" s="29">
        <f t="shared" si="132"/>
        <v>0</v>
      </c>
      <c r="BK228" s="98" t="s">
        <v>44</v>
      </c>
      <c r="BL228" s="29">
        <f>IF($A$265=$L$265,"限度超過",BJ224+BJ225+BJ226+BJ227+BJ228+BJ229+BL224+BL225+BL226+BL227)</f>
        <v>0</v>
      </c>
      <c r="BM228" s="12"/>
      <c r="BN228" s="30" t="s">
        <v>37</v>
      </c>
      <c r="BO228" s="29">
        <f t="shared" si="133"/>
        <v>0</v>
      </c>
      <c r="BP228" s="98" t="s">
        <v>44</v>
      </c>
      <c r="BQ228" s="460">
        <f>IF($A$265=$L$265,"限度超過",BO224+BO225+BO226+BO227+BO228+BO229+BQ224+BQ225+BQ226+BQ227)</f>
        <v>0</v>
      </c>
      <c r="BR228" s="12"/>
      <c r="BS228" s="12"/>
      <c r="BT228" s="12"/>
      <c r="BU228" s="12"/>
      <c r="BV228" s="12"/>
      <c r="BW228" s="12"/>
      <c r="BX228" s="67" t="s">
        <v>27</v>
      </c>
      <c r="BY228" s="45">
        <f>IF(BY227&gt;0,ROUNDDOWN(BY224*BY227*BY225/BY226,0),0)</f>
        <v>0</v>
      </c>
      <c r="BZ228" s="45">
        <f>IF(BZ227&gt;0,ROUNDDOWN(BZ224*BZ227*BZ225/BZ226,0),0)</f>
        <v>0</v>
      </c>
      <c r="CA228" s="45">
        <f>IF(CA227&gt;0,ROUNDDOWN(CA224*CA227*CA225/CA226,0),0)</f>
        <v>0</v>
      </c>
      <c r="CB228" s="45">
        <f>IF(CB227&gt;0,ROUNDDOWN(CB224*CB227*CB225/CB226,0),0)</f>
        <v>0</v>
      </c>
      <c r="CC228" s="4"/>
      <c r="CD228" s="4"/>
      <c r="CE228" s="4"/>
      <c r="CF228" s="4"/>
      <c r="CG228" s="4"/>
      <c r="CH228" s="4"/>
      <c r="CI228" s="13"/>
    </row>
    <row r="229" spans="1:87" ht="18.75" customHeight="1">
      <c r="A229" s="1421"/>
      <c r="B229" s="12"/>
      <c r="C229" s="12"/>
      <c r="D229" s="1419"/>
      <c r="E229" s="1416"/>
      <c r="F229" s="12"/>
      <c r="G229" s="855"/>
      <c r="H229" s="1413"/>
      <c r="I229" s="1277"/>
      <c r="J229" s="855"/>
      <c r="K229" s="180">
        <f>IF(H228&gt;0,K226,0)</f>
        <v>0</v>
      </c>
      <c r="L229" s="12" t="s">
        <v>5</v>
      </c>
      <c r="M229" s="1407"/>
      <c r="N229" s="1402"/>
      <c r="O229" s="1405"/>
      <c r="P229" s="1405"/>
      <c r="Q229" s="1377"/>
      <c r="R229" s="1403"/>
      <c r="S229" s="1408"/>
      <c r="T229" s="1388"/>
      <c r="U229" s="1387"/>
      <c r="V229" s="1389"/>
      <c r="W229" s="30" t="s">
        <v>38</v>
      </c>
      <c r="X229" s="29">
        <f t="shared" si="129"/>
        <v>0</v>
      </c>
      <c r="Y229" s="1368"/>
      <c r="Z229" s="1395"/>
      <c r="AC229" s="492"/>
      <c r="AD229" s="4"/>
      <c r="AE229" s="74"/>
      <c r="AF229" s="1360"/>
      <c r="AG229" s="26"/>
      <c r="AH229" s="26"/>
      <c r="AI229" s="174"/>
      <c r="AJ229" s="174"/>
      <c r="AK229" s="174"/>
      <c r="AL229" s="174"/>
      <c r="AM229" s="174"/>
      <c r="AN229" s="389"/>
      <c r="AO229" s="364" t="s">
        <v>38</v>
      </c>
      <c r="AP229" s="390">
        <f>ROUND(AP51*AQ223,0)</f>
        <v>0</v>
      </c>
      <c r="AQ229" s="363" t="s">
        <v>75</v>
      </c>
      <c r="AR229" s="396">
        <f>U228</f>
        <v>0</v>
      </c>
      <c r="AS229" s="389"/>
      <c r="AT229" s="364" t="s">
        <v>38</v>
      </c>
      <c r="AU229" s="390">
        <f>IF(AV223=0,0,IF(AV223&gt;=5,1,IF(AV223&lt;=-5,-1,0)))</f>
        <v>0</v>
      </c>
      <c r="AV229" s="392"/>
      <c r="AW229" s="397" t="str">
        <f>IF(AU224+AU225+AU226+AU227+AU228+AU229+AW224+AW225+AW226+AW227=AV223,"計算ＯＫ","エラー発生")</f>
        <v>計算ＯＫ</v>
      </c>
      <c r="AX229" s="359"/>
      <c r="AY229" s="434" t="s">
        <v>38</v>
      </c>
      <c r="AZ229" s="362">
        <f t="shared" si="130"/>
        <v>0</v>
      </c>
      <c r="BA229" s="363"/>
      <c r="BB229" s="436">
        <f>IF($AG$2&gt;0,"限度超過",U228)</f>
        <v>0</v>
      </c>
      <c r="BC229" s="359"/>
      <c r="BD229" s="451" t="s">
        <v>38</v>
      </c>
      <c r="BE229" s="81">
        <f t="shared" si="131"/>
        <v>0</v>
      </c>
      <c r="BF229" s="82"/>
      <c r="BG229" s="100"/>
      <c r="BH229" s="12"/>
      <c r="BI229" s="30" t="s">
        <v>38</v>
      </c>
      <c r="BJ229" s="29">
        <f t="shared" si="132"/>
        <v>0</v>
      </c>
      <c r="BK229" s="30"/>
      <c r="BL229" s="100"/>
      <c r="BM229" s="12"/>
      <c r="BN229" s="30" t="s">
        <v>38</v>
      </c>
      <c r="BO229" s="29">
        <f t="shared" si="133"/>
        <v>0</v>
      </c>
      <c r="BP229" s="30"/>
      <c r="BQ229" s="461"/>
      <c r="BR229" s="12"/>
      <c r="BS229" s="12"/>
      <c r="BT229" s="12"/>
      <c r="BU229" s="12"/>
      <c r="BV229" s="12"/>
      <c r="BW229" s="12"/>
      <c r="BX229" s="4"/>
      <c r="BY229" s="4"/>
      <c r="BZ229" s="4"/>
      <c r="CA229" s="4"/>
      <c r="CB229" s="4"/>
      <c r="CC229" s="4"/>
      <c r="CD229" s="4"/>
      <c r="CE229" s="4"/>
      <c r="CF229" s="4"/>
      <c r="CG229" s="4"/>
      <c r="CH229" s="4"/>
      <c r="CI229" s="13"/>
    </row>
    <row r="230" spans="1:87" ht="18.75" customHeight="1">
      <c r="A230" s="202"/>
      <c r="B230" s="75" t="s">
        <v>118</v>
      </c>
      <c r="C230" s="12"/>
      <c r="D230" s="160"/>
      <c r="E230" s="161"/>
      <c r="F230" s="12"/>
      <c r="G230" s="50"/>
      <c r="H230" s="162"/>
      <c r="I230" s="159"/>
      <c r="J230" s="50"/>
      <c r="K230" s="180"/>
      <c r="L230" s="12"/>
      <c r="M230" s="86"/>
      <c r="N230" s="86"/>
      <c r="O230" s="181"/>
      <c r="P230" s="181"/>
      <c r="Q230" s="156"/>
      <c r="R230" s="157"/>
      <c r="S230" s="49"/>
      <c r="T230" s="50"/>
      <c r="U230" s="182"/>
      <c r="V230" s="50"/>
      <c r="W230" s="4"/>
      <c r="X230" s="26"/>
      <c r="Y230" s="170"/>
      <c r="Z230" s="187"/>
      <c r="AC230" s="492"/>
      <c r="AD230" s="4"/>
      <c r="AE230" s="74"/>
      <c r="AF230" s="236"/>
      <c r="AG230" s="4"/>
      <c r="AH230" s="4"/>
      <c r="AI230" s="174"/>
      <c r="AJ230" s="174"/>
      <c r="AK230" s="174"/>
      <c r="AL230" s="174"/>
      <c r="AM230" s="174"/>
      <c r="AN230" s="389"/>
      <c r="AO230" s="367"/>
      <c r="AP230" s="398"/>
      <c r="AQ230" s="368"/>
      <c r="AR230" s="368"/>
      <c r="AS230" s="389"/>
      <c r="AT230" s="389"/>
      <c r="AU230" s="389"/>
      <c r="AV230" s="389"/>
      <c r="AW230" s="389"/>
      <c r="AX230" s="359"/>
      <c r="AY230" s="437"/>
      <c r="AZ230" s="470" t="str">
        <f>IF($AG$2&gt;0,"限度超過","－")</f>
        <v>－</v>
      </c>
      <c r="BA230" s="368"/>
      <c r="BB230" s="469" t="str">
        <f>IF(BB228=BB229,"OK","エラー")</f>
        <v>OK</v>
      </c>
      <c r="BC230" s="359"/>
      <c r="BD230" s="452"/>
      <c r="BF230" s="4" t="s">
        <v>260</v>
      </c>
      <c r="BH230" s="12"/>
      <c r="BM230" s="12"/>
      <c r="BQ230" s="462"/>
      <c r="BR230" s="12"/>
      <c r="BS230" s="12"/>
      <c r="BT230" s="12"/>
      <c r="BU230" s="12"/>
      <c r="BV230" s="12"/>
      <c r="BW230" s="12"/>
      <c r="BX230" s="4"/>
      <c r="BY230" s="4"/>
      <c r="BZ230" s="4"/>
      <c r="CA230" s="4"/>
      <c r="CB230" s="4"/>
      <c r="CC230" s="4"/>
      <c r="CD230" s="4"/>
      <c r="CE230" s="4"/>
      <c r="CF230" s="4"/>
      <c r="CG230" s="4"/>
      <c r="CH230" s="4"/>
      <c r="CI230" s="13"/>
    </row>
    <row r="231" spans="1:87" ht="18.75" customHeight="1">
      <c r="A231" s="58" t="s">
        <v>1</v>
      </c>
      <c r="B231" s="52"/>
      <c r="C231" s="189">
        <f>IF(H228&gt;0,$X$191,0)</f>
        <v>0</v>
      </c>
      <c r="D231" s="203" t="s">
        <v>6</v>
      </c>
      <c r="E231" s="60" t="s">
        <v>131</v>
      </c>
      <c r="F231" s="1204">
        <f>K225</f>
        <v>0</v>
      </c>
      <c r="G231" s="1204"/>
      <c r="H231" s="216" t="s">
        <v>5</v>
      </c>
      <c r="I231" s="1451" t="s">
        <v>14</v>
      </c>
      <c r="J231" s="1451"/>
      <c r="K231" s="1204">
        <f>C231*F231</f>
        <v>0</v>
      </c>
      <c r="L231" s="1204"/>
      <c r="M231" s="204" t="s">
        <v>6</v>
      </c>
      <c r="N231" s="204"/>
      <c r="O231" s="205"/>
      <c r="P231" s="205"/>
      <c r="Q231" s="63"/>
      <c r="R231" s="206"/>
      <c r="S231" s="59"/>
      <c r="T231" s="27"/>
      <c r="U231" s="207"/>
      <c r="V231" s="27"/>
      <c r="W231" s="188"/>
      <c r="X231" s="189"/>
      <c r="Y231" s="208"/>
      <c r="Z231" s="163"/>
      <c r="AC231" s="492"/>
      <c r="AD231" s="4"/>
      <c r="AE231" s="74"/>
      <c r="AF231" s="237"/>
      <c r="AG231" s="4"/>
      <c r="AH231" s="4"/>
      <c r="AI231" s="174"/>
      <c r="AJ231" s="174"/>
      <c r="AK231" s="174"/>
      <c r="AL231" s="174"/>
      <c r="AM231" s="174"/>
      <c r="AN231" s="389"/>
      <c r="AO231" s="386" t="s">
        <v>239</v>
      </c>
      <c r="AP231" s="1266" t="s">
        <v>223</v>
      </c>
      <c r="AQ231" s="1266"/>
      <c r="AR231" s="1266"/>
      <c r="AS231" s="389"/>
      <c r="AT231" s="1289" t="s">
        <v>239</v>
      </c>
      <c r="AU231" s="1289"/>
      <c r="AV231" s="387"/>
      <c r="AW231" s="387"/>
      <c r="AX231" s="359"/>
      <c r="AY231" s="438" t="s">
        <v>239</v>
      </c>
      <c r="AZ231" s="388"/>
      <c r="BA231" s="368"/>
      <c r="BB231" s="439"/>
      <c r="BC231" s="359"/>
      <c r="BD231" s="463" t="s">
        <v>239</v>
      </c>
      <c r="BE231" s="403"/>
      <c r="BF231" s="4" t="s">
        <v>261</v>
      </c>
      <c r="BH231" s="12"/>
      <c r="BI231" s="403" t="s">
        <v>239</v>
      </c>
      <c r="BJ231" s="403"/>
      <c r="BM231" s="12"/>
      <c r="BN231" s="403" t="s">
        <v>239</v>
      </c>
      <c r="BO231" s="403"/>
      <c r="BQ231" s="462"/>
      <c r="BR231" s="12"/>
      <c r="BS231" s="12"/>
      <c r="BT231" s="12"/>
      <c r="BU231" s="12"/>
      <c r="BV231" s="12"/>
      <c r="BW231" s="12"/>
      <c r="BX231" s="4"/>
      <c r="BY231" s="4"/>
      <c r="BZ231" s="4"/>
      <c r="CA231" s="4"/>
      <c r="CB231" s="4"/>
      <c r="CC231" s="4"/>
      <c r="CD231" s="4"/>
      <c r="CE231" s="4"/>
      <c r="CF231" s="4"/>
      <c r="CG231" s="4"/>
      <c r="CH231" s="4"/>
      <c r="CI231" s="13"/>
    </row>
    <row r="232" spans="1:87" ht="18.75" customHeight="1">
      <c r="D232" s="101"/>
      <c r="E232" s="70"/>
      <c r="G232" s="9"/>
      <c r="H232" s="102"/>
      <c r="I232" s="5"/>
      <c r="J232" s="9"/>
      <c r="K232" s="18"/>
      <c r="M232" s="103"/>
      <c r="P232" s="103"/>
      <c r="Q232" s="70"/>
      <c r="R232" s="104"/>
      <c r="S232" s="68"/>
      <c r="T232" s="68"/>
      <c r="U232" s="68"/>
      <c r="V232" s="18"/>
      <c r="AC232" s="492"/>
      <c r="AD232" s="4"/>
      <c r="AE232" s="74"/>
      <c r="AF232" s="233"/>
      <c r="AG232" s="26"/>
      <c r="AH232" s="26"/>
      <c r="AI232" s="174"/>
      <c r="AJ232" s="174"/>
      <c r="AK232" s="174"/>
      <c r="AL232" s="174"/>
      <c r="AM232" s="174"/>
      <c r="AN232" s="389"/>
      <c r="AO232" s="371" t="s">
        <v>219</v>
      </c>
      <c r="AP232" s="360"/>
      <c r="AQ232" s="399"/>
      <c r="AR232" s="399"/>
      <c r="AS232" s="389"/>
      <c r="AT232" s="1301" t="s">
        <v>220</v>
      </c>
      <c r="AU232" s="1301"/>
      <c r="AV232" s="1301"/>
      <c r="AW232" s="1301"/>
      <c r="AX232" s="359"/>
      <c r="AY232" s="431" t="s">
        <v>226</v>
      </c>
      <c r="AZ232" s="1281" t="s">
        <v>225</v>
      </c>
      <c r="BA232" s="1281"/>
      <c r="BB232" s="1282"/>
      <c r="BC232" s="359"/>
      <c r="BD232" s="1267" t="s">
        <v>264</v>
      </c>
      <c r="BE232" s="1268"/>
      <c r="BF232" s="1268"/>
      <c r="BG232" s="1268"/>
      <c r="BH232" s="12"/>
      <c r="BI232" s="440" t="s">
        <v>265</v>
      </c>
      <c r="BJ232" s="1269" t="s">
        <v>263</v>
      </c>
      <c r="BK232" s="1269"/>
      <c r="BL232" s="1269"/>
      <c r="BM232" s="12"/>
      <c r="BN232" s="12"/>
      <c r="BO232" s="143" t="s">
        <v>266</v>
      </c>
      <c r="BP232" s="12" t="s">
        <v>88</v>
      </c>
      <c r="BQ232" s="449"/>
      <c r="BR232" s="12"/>
      <c r="BS232" s="12"/>
      <c r="BT232" s="12"/>
      <c r="BU232" s="12"/>
      <c r="BV232" s="12"/>
      <c r="BW232" s="12"/>
      <c r="BX232" s="4"/>
      <c r="BY232" s="4"/>
      <c r="BZ232" s="4"/>
      <c r="CA232" s="4"/>
      <c r="CB232" s="4"/>
      <c r="CC232" s="4"/>
      <c r="CD232" s="4"/>
      <c r="CE232" s="4"/>
      <c r="CF232" s="4"/>
      <c r="CG232" s="4"/>
      <c r="CH232" s="4"/>
      <c r="CI232" s="13"/>
    </row>
    <row r="233" spans="1:87" ht="18.75" customHeight="1">
      <c r="A233" s="196" t="s">
        <v>55</v>
      </c>
      <c r="B233" s="1382">
        <f>IF(I233=1,B55,0)</f>
        <v>0</v>
      </c>
      <c r="C233" s="1382"/>
      <c r="D233" s="1382"/>
      <c r="E233" s="198" t="s">
        <v>11</v>
      </c>
      <c r="F233" s="1412" t="s">
        <v>57</v>
      </c>
      <c r="G233" s="1412"/>
      <c r="H233" s="1412"/>
      <c r="I233" s="1449">
        <f>IF(I55=1,1,0)</f>
        <v>0</v>
      </c>
      <c r="J233" s="1450"/>
      <c r="K233" s="1373">
        <f>IF($AG$2&gt;0,0,IF((X235+X236+X237+X238+X239+Z234+Z235+Z236+Z237)&lt;0,"＊＊エラー介護該当者は①から入力＊＊",0))</f>
        <v>0</v>
      </c>
      <c r="L233" s="1374"/>
      <c r="M233" s="1374"/>
      <c r="N233" s="1374"/>
      <c r="O233" s="1374"/>
      <c r="P233" s="1374"/>
      <c r="Q233" s="1374"/>
      <c r="R233" s="1374"/>
      <c r="S233" s="1375"/>
      <c r="T233" s="197" t="s">
        <v>47</v>
      </c>
      <c r="U233" s="1383">
        <f>IF(U238&gt;0,"介護分",0)</f>
        <v>0</v>
      </c>
      <c r="V233" s="1384"/>
      <c r="W233" s="1385" t="s">
        <v>46</v>
      </c>
      <c r="X233" s="1164"/>
      <c r="Y233" s="1164"/>
      <c r="Z233" s="1165"/>
      <c r="AC233" s="492"/>
      <c r="AD233" s="4"/>
      <c r="AE233" s="74"/>
      <c r="AF233" s="238" t="s">
        <v>117</v>
      </c>
      <c r="AG233" s="26"/>
      <c r="AH233" s="276">
        <f>IF(K235=0,0,IF(K235&lt;12,1,0))</f>
        <v>0</v>
      </c>
      <c r="AI233" s="174"/>
      <c r="AJ233" s="174"/>
      <c r="AK233" s="174"/>
      <c r="AL233" s="174"/>
      <c r="AM233" s="174"/>
      <c r="AN233" s="400" t="s">
        <v>148</v>
      </c>
      <c r="AO233" s="1320" t="s">
        <v>46</v>
      </c>
      <c r="AP233" s="1287"/>
      <c r="AQ233" s="1396">
        <f>IF(AR60=0,0,ROUNDDOWN(AR239/AR60,8))</f>
        <v>0</v>
      </c>
      <c r="AR233" s="1397"/>
      <c r="AS233" s="389"/>
      <c r="AT233" s="1320" t="s">
        <v>215</v>
      </c>
      <c r="AU233" s="1287"/>
      <c r="AV233" s="1284">
        <f>IF($AG$184&gt;0,0,AR239-AR238)</f>
        <v>0</v>
      </c>
      <c r="AW233" s="1285"/>
      <c r="AX233" s="359"/>
      <c r="AY233" s="1286" t="s">
        <v>46</v>
      </c>
      <c r="AZ233" s="1287"/>
      <c r="BA233" s="1456">
        <f>IF(R235+R238=0,0,IF(K236&gt;K235,"期割がアンマッチ使用禁止↓",0))</f>
        <v>0</v>
      </c>
      <c r="BB233" s="1457"/>
      <c r="BC233" s="359"/>
      <c r="BD233" s="1272" t="s">
        <v>46</v>
      </c>
      <c r="BE233" s="1273"/>
      <c r="BF233" s="1270"/>
      <c r="BG233" s="1271"/>
      <c r="BH233" s="12"/>
      <c r="BI233" s="1139" t="s">
        <v>46</v>
      </c>
      <c r="BJ233" s="1273"/>
      <c r="BK233" s="1270"/>
      <c r="BL233" s="1271"/>
      <c r="BM233" s="12"/>
      <c r="BN233" s="1139" t="s">
        <v>46</v>
      </c>
      <c r="BO233" s="1273"/>
      <c r="BP233" s="1270"/>
      <c r="BQ233" s="1278"/>
      <c r="BR233" s="12"/>
      <c r="BS233" s="12"/>
      <c r="BT233" s="12"/>
      <c r="BU233" s="12"/>
      <c r="BV233" s="12"/>
      <c r="BW233" s="12"/>
      <c r="BX233" s="32"/>
      <c r="BY233" s="33" t="str">
        <f>BY223</f>
        <v>料率</v>
      </c>
      <c r="BZ233" s="33">
        <f>BZ223</f>
        <v>7</v>
      </c>
      <c r="CA233" s="33">
        <f>CA223</f>
        <v>5</v>
      </c>
      <c r="CB233" s="33">
        <f>CB223</f>
        <v>2</v>
      </c>
      <c r="CC233" s="4"/>
      <c r="CD233" s="4"/>
      <c r="CE233" s="4"/>
      <c r="CF233" s="4"/>
      <c r="CG233" s="4"/>
      <c r="CH233" s="4"/>
      <c r="CI233" s="13"/>
    </row>
    <row r="234" spans="1:87" ht="18.75" customHeight="1">
      <c r="A234" s="165"/>
      <c r="B234" s="12"/>
      <c r="C234" s="75" t="s">
        <v>33</v>
      </c>
      <c r="D234" s="12"/>
      <c r="E234" s="12"/>
      <c r="F234" s="12"/>
      <c r="G234" s="12"/>
      <c r="H234" s="50"/>
      <c r="I234" s="93"/>
      <c r="J234" s="12"/>
      <c r="K234" s="76" t="s">
        <v>9</v>
      </c>
      <c r="L234" s="12"/>
      <c r="M234" s="1409">
        <f>IF(R235+R238=0, 0, IF(K236=K235,0,IF(K236&gt;K235,"年度途中で資格変動有？保険料内訳のみ使用可能",0)))</f>
        <v>0</v>
      </c>
      <c r="N234" s="1409"/>
      <c r="O234" s="1409"/>
      <c r="P234" s="1409"/>
      <c r="Q234" s="1409"/>
      <c r="R234" s="1409"/>
      <c r="S234" s="1410"/>
      <c r="T234" s="72" t="s">
        <v>30</v>
      </c>
      <c r="U234" s="105">
        <f>R235+R238</f>
        <v>0</v>
      </c>
      <c r="V234" s="88" t="s">
        <v>6</v>
      </c>
      <c r="W234" s="80" t="s">
        <v>34</v>
      </c>
      <c r="X234" s="29">
        <f t="shared" ref="X234:X239" si="135">IF($AH$13&gt;0,0,AZ234)</f>
        <v>0</v>
      </c>
      <c r="Y234" s="80" t="s">
        <v>39</v>
      </c>
      <c r="Z234" s="31">
        <f>IF($AH$13&gt;0,0,BB234)</f>
        <v>0</v>
      </c>
      <c r="AC234" s="492"/>
      <c r="AD234" s="4"/>
      <c r="AE234" s="74"/>
      <c r="AF234" s="219">
        <f>AF235+AF238+AF241</f>
        <v>0</v>
      </c>
      <c r="AG234" s="26"/>
      <c r="AH234" s="26"/>
      <c r="AI234" s="174"/>
      <c r="AJ234" s="174"/>
      <c r="AK234" s="174"/>
      <c r="AL234" s="174"/>
      <c r="AM234" s="174"/>
      <c r="AN234" s="389"/>
      <c r="AO234" s="361" t="s">
        <v>34</v>
      </c>
      <c r="AP234" s="390">
        <f>ROUND(AP56*AQ233,0)</f>
        <v>0</v>
      </c>
      <c r="AQ234" s="363" t="s">
        <v>39</v>
      </c>
      <c r="AR234" s="391">
        <f>ROUND(AR56*AQ233,0)</f>
        <v>0</v>
      </c>
      <c r="AS234" s="389"/>
      <c r="AT234" s="364" t="s">
        <v>34</v>
      </c>
      <c r="AU234" s="390">
        <f>IF(AV233=0,0,IF(AV233&gt;=10,1,IF(AV233&lt;=-10,-1,0)))</f>
        <v>0</v>
      </c>
      <c r="AV234" s="392" t="s">
        <v>39</v>
      </c>
      <c r="AW234" s="391">
        <f>IF(AV233=0,0,IF(AV233&gt;=4,1,IF(AV233&lt;=-4,-1,0)))</f>
        <v>0</v>
      </c>
      <c r="AX234" s="359"/>
      <c r="AY234" s="432" t="s">
        <v>34</v>
      </c>
      <c r="AZ234" s="362">
        <f t="shared" ref="AZ234:AZ239" si="136">IF($AG$2&gt;0,"限度超過",AP234+AU234)</f>
        <v>0</v>
      </c>
      <c r="BA234" s="363" t="s">
        <v>39</v>
      </c>
      <c r="BB234" s="433">
        <f>IF($AG$2&gt;0,"限度超過",AR234+AW234)</f>
        <v>0</v>
      </c>
      <c r="BC234" s="359"/>
      <c r="BD234" s="451" t="s">
        <v>34</v>
      </c>
      <c r="BE234" s="81">
        <f t="shared" ref="BE234:BE239" si="137">BE224</f>
        <v>0</v>
      </c>
      <c r="BF234" s="82" t="s">
        <v>39</v>
      </c>
      <c r="BG234" s="29">
        <f>BG224</f>
        <v>0</v>
      </c>
      <c r="BH234" s="12"/>
      <c r="BI234" s="80" t="s">
        <v>34</v>
      </c>
      <c r="BJ234" s="29">
        <f t="shared" ref="BJ234:BJ239" si="138">IF($A$265=$L$265,"限度超過",IF(BE234=0,0,BE234/$S$183))</f>
        <v>0</v>
      </c>
      <c r="BK234" s="80" t="s">
        <v>39</v>
      </c>
      <c r="BL234" s="29">
        <f>IF($A$265=$L$265,"限度超過",IF(BG234=0,0,BG234/$S$183))</f>
        <v>0</v>
      </c>
      <c r="BM234" s="12"/>
      <c r="BN234" s="30" t="s">
        <v>34</v>
      </c>
      <c r="BO234" s="29">
        <f t="shared" ref="BO234:BO239" si="139">IF($A$265=$L$265,"限度超過",IF($S$183&lt;=4,0,BJ234))</f>
        <v>0</v>
      </c>
      <c r="BP234" s="80" t="s">
        <v>39</v>
      </c>
      <c r="BQ234" s="460">
        <f>IF($A$265=$L$265,"限度超過",IF($S$183&lt;=4,0,BL234))</f>
        <v>0</v>
      </c>
      <c r="BR234" s="12"/>
      <c r="BS234" s="12"/>
      <c r="BT234" s="12"/>
      <c r="BU234" s="12"/>
      <c r="BV234" s="12"/>
      <c r="BW234" s="12"/>
      <c r="BX234" s="32" t="s">
        <v>17</v>
      </c>
      <c r="BY234" s="44">
        <v>0</v>
      </c>
      <c r="BZ234" s="45">
        <f>$CF$186</f>
        <v>5440</v>
      </c>
      <c r="CA234" s="45">
        <f>$CG$186</f>
        <v>3880</v>
      </c>
      <c r="CB234" s="45">
        <f>$CH$186</f>
        <v>1560</v>
      </c>
      <c r="CC234" s="4"/>
      <c r="CD234" s="4"/>
      <c r="CE234" s="4"/>
      <c r="CF234" s="4"/>
      <c r="CG234" s="4"/>
      <c r="CH234" s="4"/>
      <c r="CI234" s="13"/>
    </row>
    <row r="235" spans="1:87" ht="18.75" customHeight="1">
      <c r="A235" s="1421" t="s">
        <v>0</v>
      </c>
      <c r="B235" s="1448" t="s">
        <v>129</v>
      </c>
      <c r="C235" s="1376">
        <f>IF(K235&gt;0,C57,0)</f>
        <v>0</v>
      </c>
      <c r="D235" s="855" t="s">
        <v>58</v>
      </c>
      <c r="E235" s="1416">
        <f>IF(H238&gt;0,$CE$189, 0)</f>
        <v>0</v>
      </c>
      <c r="F235" s="1380" t="s">
        <v>22</v>
      </c>
      <c r="G235" s="855" t="s">
        <v>59</v>
      </c>
      <c r="H235" s="85">
        <f>IF(H238&gt;0,$CE$185,0)</f>
        <v>0</v>
      </c>
      <c r="I235" s="1277" t="s">
        <v>22</v>
      </c>
      <c r="J235" s="855" t="s">
        <v>59</v>
      </c>
      <c r="K235" s="51">
        <f>入力画面!I35</f>
        <v>0</v>
      </c>
      <c r="L235" s="52" t="s">
        <v>5</v>
      </c>
      <c r="M235" s="1380"/>
      <c r="N235" s="1407"/>
      <c r="O235" s="86"/>
      <c r="P235" s="1377" t="s">
        <v>130</v>
      </c>
      <c r="Q235" s="1377"/>
      <c r="R235" s="1403">
        <f>ROUNDDOWN(IF(((C235-E235)*H235/H236)*K235/K236&lt;0,0,((C235-E235)*H235/H236)*K235/K236),0)</f>
        <v>0</v>
      </c>
      <c r="S235" s="1408" t="s">
        <v>6</v>
      </c>
      <c r="T235" s="72" t="s">
        <v>1</v>
      </c>
      <c r="U235" s="105">
        <f>IF(H238=0,0,K241)</f>
        <v>0</v>
      </c>
      <c r="V235" s="88" t="s">
        <v>6</v>
      </c>
      <c r="W235" s="30" t="s">
        <v>35</v>
      </c>
      <c r="X235" s="29">
        <f t="shared" si="135"/>
        <v>0</v>
      </c>
      <c r="Y235" s="30" t="s">
        <v>40</v>
      </c>
      <c r="Z235" s="31">
        <f>IF($AH$13&gt;0,0,BB235)</f>
        <v>0</v>
      </c>
      <c r="AC235" s="492"/>
      <c r="AD235" s="4"/>
      <c r="AE235" s="74"/>
      <c r="AF235" s="1360">
        <f>ROUNDDOWN(IF(((C235-E235)*H235/H236)&lt;0,0,((C235-E235)*H235/H236)),0)</f>
        <v>0</v>
      </c>
      <c r="AG235" s="26"/>
      <c r="AH235" s="26"/>
      <c r="AI235" s="174"/>
      <c r="AJ235" s="174"/>
      <c r="AK235" s="174"/>
      <c r="AL235" s="174"/>
      <c r="AM235" s="174"/>
      <c r="AN235" s="389"/>
      <c r="AO235" s="364" t="s">
        <v>35</v>
      </c>
      <c r="AP235" s="390">
        <f>ROUND(AP57*AQ233,0)</f>
        <v>0</v>
      </c>
      <c r="AQ235" s="363" t="s">
        <v>40</v>
      </c>
      <c r="AR235" s="391">
        <f>ROUND(AR57*AQ233,0)</f>
        <v>0</v>
      </c>
      <c r="AS235" s="389"/>
      <c r="AT235" s="364" t="s">
        <v>35</v>
      </c>
      <c r="AU235" s="390">
        <f>IF(AV233=0,0,IF(AV233&gt;=9,1,IF(AV233&lt;=-9,-1,0)))</f>
        <v>0</v>
      </c>
      <c r="AV235" s="392" t="s">
        <v>40</v>
      </c>
      <c r="AW235" s="391">
        <f>IF(AV233=0,0,IF(AV233&gt;=3,1,IF(AV233&lt;=-3,-1,0)))</f>
        <v>0</v>
      </c>
      <c r="AX235" s="359"/>
      <c r="AY235" s="434" t="s">
        <v>35</v>
      </c>
      <c r="AZ235" s="362">
        <f t="shared" si="136"/>
        <v>0</v>
      </c>
      <c r="BA235" s="363" t="s">
        <v>40</v>
      </c>
      <c r="BB235" s="433">
        <f>IF($AG$2&gt;0,"限度超過",AR235+AW235)</f>
        <v>0</v>
      </c>
      <c r="BC235" s="359"/>
      <c r="BD235" s="451" t="s">
        <v>35</v>
      </c>
      <c r="BE235" s="81">
        <f t="shared" si="137"/>
        <v>0</v>
      </c>
      <c r="BF235" s="82" t="s">
        <v>40</v>
      </c>
      <c r="BG235" s="29">
        <f>BG225</f>
        <v>0</v>
      </c>
      <c r="BH235" s="12"/>
      <c r="BI235" s="30" t="s">
        <v>35</v>
      </c>
      <c r="BJ235" s="29">
        <f t="shared" si="138"/>
        <v>0</v>
      </c>
      <c r="BK235" s="30" t="s">
        <v>40</v>
      </c>
      <c r="BL235" s="29">
        <f>IF($A$265=$L$265,"限度超過",IF(BG235=0,0,BG235/$S$183))</f>
        <v>0</v>
      </c>
      <c r="BM235" s="12"/>
      <c r="BN235" s="30" t="s">
        <v>35</v>
      </c>
      <c r="BO235" s="29">
        <f t="shared" si="139"/>
        <v>0</v>
      </c>
      <c r="BP235" s="30" t="s">
        <v>40</v>
      </c>
      <c r="BQ235" s="460">
        <f>IF($A$265=$L$265,"限度超過",IF($S$183&lt;=4,0,BL235))</f>
        <v>0</v>
      </c>
      <c r="BR235" s="12"/>
      <c r="BS235" s="12"/>
      <c r="BT235" s="12"/>
      <c r="BU235" s="12"/>
      <c r="BV235" s="12"/>
      <c r="BW235" s="12"/>
      <c r="BX235" s="32" t="s">
        <v>8</v>
      </c>
      <c r="BY235" s="45">
        <f>K228</f>
        <v>0</v>
      </c>
      <c r="BZ235" s="45">
        <f t="shared" ref="BZ235:CB237" si="140">BY235</f>
        <v>0</v>
      </c>
      <c r="CA235" s="45">
        <f t="shared" si="140"/>
        <v>0</v>
      </c>
      <c r="CB235" s="45">
        <f t="shared" si="140"/>
        <v>0</v>
      </c>
      <c r="CC235" s="4"/>
      <c r="CD235" s="4"/>
      <c r="CE235" s="4"/>
      <c r="CF235" s="4"/>
      <c r="CG235" s="4"/>
      <c r="CH235" s="4"/>
      <c r="CI235" s="13"/>
    </row>
    <row r="236" spans="1:87" ht="18.75" customHeight="1">
      <c r="A236" s="1421"/>
      <c r="B236" s="1448"/>
      <c r="C236" s="1376"/>
      <c r="D236" s="855"/>
      <c r="E236" s="1416"/>
      <c r="F236" s="1380"/>
      <c r="G236" s="855"/>
      <c r="H236" s="39">
        <v>100</v>
      </c>
      <c r="I236" s="1277"/>
      <c r="J236" s="855"/>
      <c r="K236" s="55">
        <v>12</v>
      </c>
      <c r="L236" s="12" t="s">
        <v>5</v>
      </c>
      <c r="M236" s="1380"/>
      <c r="N236" s="1407"/>
      <c r="O236" s="86"/>
      <c r="P236" s="1377"/>
      <c r="Q236" s="1377"/>
      <c r="R236" s="1403"/>
      <c r="S236" s="1408"/>
      <c r="T236" s="72" t="s">
        <v>29</v>
      </c>
      <c r="U236" s="105">
        <f>U234+U235</f>
        <v>0</v>
      </c>
      <c r="V236" s="88" t="s">
        <v>6</v>
      </c>
      <c r="W236" s="30" t="s">
        <v>36</v>
      </c>
      <c r="X236" s="29">
        <f t="shared" si="135"/>
        <v>0</v>
      </c>
      <c r="Y236" s="30" t="s">
        <v>41</v>
      </c>
      <c r="Z236" s="31">
        <f>IF($AH$13&gt;0,0,BB236)</f>
        <v>0</v>
      </c>
      <c r="AC236" s="492"/>
      <c r="AD236" s="4"/>
      <c r="AE236" s="489"/>
      <c r="AF236" s="1360"/>
      <c r="AG236" s="26"/>
      <c r="AI236" s="174"/>
      <c r="AJ236" s="174"/>
      <c r="AK236" s="174"/>
      <c r="AL236" s="174"/>
      <c r="AM236" s="174"/>
      <c r="AN236" s="389"/>
      <c r="AO236" s="364" t="s">
        <v>36</v>
      </c>
      <c r="AP236" s="390">
        <f>ROUND(AP58*AQ233,0)</f>
        <v>0</v>
      </c>
      <c r="AQ236" s="363" t="s">
        <v>41</v>
      </c>
      <c r="AR236" s="391">
        <f>ROUND(AR58*AQ233,0)</f>
        <v>0</v>
      </c>
      <c r="AS236" s="389"/>
      <c r="AT236" s="364" t="s">
        <v>36</v>
      </c>
      <c r="AU236" s="390">
        <f>IF(AV233=0,0,IF(AV233&gt;=8,1,IF(AV233&lt;=-8,-1,0)))</f>
        <v>0</v>
      </c>
      <c r="AV236" s="392" t="s">
        <v>41</v>
      </c>
      <c r="AW236" s="391">
        <f>IF(AV233=0,0,IF(AV233&gt;=2,1,IF(AV233&lt;=-2,-1,0)))</f>
        <v>0</v>
      </c>
      <c r="AX236" s="359"/>
      <c r="AY236" s="434" t="s">
        <v>36</v>
      </c>
      <c r="AZ236" s="362">
        <f t="shared" si="136"/>
        <v>0</v>
      </c>
      <c r="BA236" s="363" t="s">
        <v>41</v>
      </c>
      <c r="BB236" s="433">
        <f>IF($AG$2&gt;0,"限度超過",AR236+AW236)</f>
        <v>0</v>
      </c>
      <c r="BC236" s="359"/>
      <c r="BD236" s="451" t="s">
        <v>36</v>
      </c>
      <c r="BE236" s="81">
        <f t="shared" si="137"/>
        <v>0</v>
      </c>
      <c r="BF236" s="82" t="s">
        <v>41</v>
      </c>
      <c r="BG236" s="29">
        <f>BG226</f>
        <v>0</v>
      </c>
      <c r="BH236" s="12"/>
      <c r="BI236" s="30" t="s">
        <v>36</v>
      </c>
      <c r="BJ236" s="29">
        <f t="shared" si="138"/>
        <v>0</v>
      </c>
      <c r="BK236" s="30" t="s">
        <v>41</v>
      </c>
      <c r="BL236" s="29">
        <f>IF($A$265=$L$265,"限度超過",IF(BG236=0,0,BG236/$S$183))</f>
        <v>0</v>
      </c>
      <c r="BM236" s="12"/>
      <c r="BN236" s="30" t="s">
        <v>36</v>
      </c>
      <c r="BO236" s="29">
        <f t="shared" si="139"/>
        <v>0</v>
      </c>
      <c r="BP236" s="30" t="s">
        <v>41</v>
      </c>
      <c r="BQ236" s="460">
        <f>IF($A$265=$L$265,"限度超過",IF($S$183&lt;=4,0,BL236))</f>
        <v>0</v>
      </c>
      <c r="BR236" s="12"/>
      <c r="BS236" s="12"/>
      <c r="BT236" s="12"/>
      <c r="BU236" s="12"/>
      <c r="BV236" s="12"/>
      <c r="BW236" s="12"/>
      <c r="BX236" s="32" t="s">
        <v>25</v>
      </c>
      <c r="BY236" s="45">
        <f>K229</f>
        <v>0</v>
      </c>
      <c r="BZ236" s="45">
        <f t="shared" si="140"/>
        <v>0</v>
      </c>
      <c r="CA236" s="45">
        <f t="shared" si="140"/>
        <v>0</v>
      </c>
      <c r="CB236" s="45">
        <f t="shared" si="140"/>
        <v>0</v>
      </c>
      <c r="CC236" s="4"/>
      <c r="CD236" s="4"/>
      <c r="CE236" s="4"/>
      <c r="CF236" s="4"/>
      <c r="CG236" s="4"/>
      <c r="CH236" s="4"/>
      <c r="CI236" s="13"/>
    </row>
    <row r="237" spans="1:87" ht="18.75" customHeight="1">
      <c r="A237" s="165"/>
      <c r="B237" s="12"/>
      <c r="C237" s="50"/>
      <c r="D237" s="12"/>
      <c r="E237" s="12"/>
      <c r="F237" s="12"/>
      <c r="G237" s="12"/>
      <c r="H237" s="91"/>
      <c r="I237" s="75"/>
      <c r="J237" s="75"/>
      <c r="K237" s="92"/>
      <c r="L237" s="75"/>
      <c r="M237" s="93"/>
      <c r="N237" s="94"/>
      <c r="O237" s="42">
        <f>IF(H238=0,0,$D$183)</f>
        <v>0</v>
      </c>
      <c r="P237" s="466">
        <f>IF(O238=0,0,"軽減額")</f>
        <v>0</v>
      </c>
      <c r="Q237" s="12"/>
      <c r="R237" s="95"/>
      <c r="S237" s="49"/>
      <c r="T237" s="96" t="s">
        <v>31</v>
      </c>
      <c r="U237" s="105">
        <f>ROUNDDOWN(U236,-2)</f>
        <v>0</v>
      </c>
      <c r="V237" s="88" t="s">
        <v>6</v>
      </c>
      <c r="W237" s="30" t="s">
        <v>43</v>
      </c>
      <c r="X237" s="29">
        <f t="shared" si="135"/>
        <v>0</v>
      </c>
      <c r="Y237" s="30" t="s">
        <v>42</v>
      </c>
      <c r="Z237" s="31">
        <f>IF($AH$13&gt;0,0,BB237)</f>
        <v>0</v>
      </c>
      <c r="AC237" s="492"/>
      <c r="AD237" s="4"/>
      <c r="AE237" s="500" t="str">
        <f>IF($AH$13&gt;0,"－",IF($AG$2&gt;0,"限度超過",IF(U238=Z238,"OK","ｱﾝﾏｯﾁ")))</f>
        <v>OK</v>
      </c>
      <c r="AF237" s="499"/>
      <c r="AG237" s="4"/>
      <c r="AI237" s="174"/>
      <c r="AJ237" s="174"/>
      <c r="AK237" s="174"/>
      <c r="AL237" s="174"/>
      <c r="AM237" s="174"/>
      <c r="AN237" s="389"/>
      <c r="AO237" s="364" t="s">
        <v>43</v>
      </c>
      <c r="AP237" s="390">
        <f>ROUND(AP59*AQ233,0)</f>
        <v>0</v>
      </c>
      <c r="AQ237" s="363" t="s">
        <v>42</v>
      </c>
      <c r="AR237" s="391">
        <f>ROUND(AR59*AQ233,0)</f>
        <v>0</v>
      </c>
      <c r="AS237" s="389"/>
      <c r="AT237" s="364" t="s">
        <v>43</v>
      </c>
      <c r="AU237" s="390">
        <f>IF(AV233=0,0,IF(AV233&gt;=7,1,IF(AV233&lt;=-7,-1,0)))</f>
        <v>0</v>
      </c>
      <c r="AV237" s="392" t="s">
        <v>42</v>
      </c>
      <c r="AW237" s="391">
        <f>IF(AV233=0,0,IF(AV233&gt;=1,1,IF(AV233&lt;=-1,-1,0)))</f>
        <v>0</v>
      </c>
      <c r="AX237" s="359"/>
      <c r="AY237" s="434" t="s">
        <v>43</v>
      </c>
      <c r="AZ237" s="362">
        <f t="shared" si="136"/>
        <v>0</v>
      </c>
      <c r="BA237" s="363" t="s">
        <v>42</v>
      </c>
      <c r="BB237" s="433">
        <f>IF($AG$2&gt;0,"限度超過",AR237+AW237)</f>
        <v>0</v>
      </c>
      <c r="BC237" s="359"/>
      <c r="BD237" s="451" t="s">
        <v>43</v>
      </c>
      <c r="BE237" s="81">
        <f t="shared" si="137"/>
        <v>0</v>
      </c>
      <c r="BF237" s="82" t="s">
        <v>42</v>
      </c>
      <c r="BG237" s="29">
        <f>BG227</f>
        <v>0</v>
      </c>
      <c r="BH237" s="12"/>
      <c r="BI237" s="30" t="s">
        <v>43</v>
      </c>
      <c r="BJ237" s="29">
        <f t="shared" si="138"/>
        <v>0</v>
      </c>
      <c r="BK237" s="30" t="s">
        <v>42</v>
      </c>
      <c r="BL237" s="29">
        <f>IF($A$265=$L$265,"限度超過",IF(BG237=0,0,BG237/$S$183))</f>
        <v>0</v>
      </c>
      <c r="BM237" s="12"/>
      <c r="BN237" s="30" t="s">
        <v>43</v>
      </c>
      <c r="BO237" s="29">
        <f t="shared" si="139"/>
        <v>0</v>
      </c>
      <c r="BP237" s="30" t="s">
        <v>42</v>
      </c>
      <c r="BQ237" s="460">
        <f>IF($A$265=$L$265,"限度超過",IF($S$183&lt;=4,0,BL237))</f>
        <v>0</v>
      </c>
      <c r="BR237" s="12"/>
      <c r="BS237" s="12"/>
      <c r="BT237" s="12"/>
      <c r="BU237" s="12"/>
      <c r="BV237" s="12"/>
      <c r="BW237" s="12"/>
      <c r="BX237" s="32" t="s">
        <v>26</v>
      </c>
      <c r="BY237" s="26">
        <f>H228</f>
        <v>0</v>
      </c>
      <c r="BZ237" s="99">
        <f t="shared" si="140"/>
        <v>0</v>
      </c>
      <c r="CA237" s="99">
        <f t="shared" si="140"/>
        <v>0</v>
      </c>
      <c r="CB237" s="99">
        <f t="shared" si="140"/>
        <v>0</v>
      </c>
      <c r="CC237" s="4"/>
      <c r="CD237" s="4"/>
      <c r="CE237" s="4"/>
      <c r="CF237" s="4"/>
      <c r="CG237" s="4"/>
      <c r="CH237" s="4"/>
      <c r="CI237" s="13"/>
    </row>
    <row r="238" spans="1:87" ht="18.75" customHeight="1">
      <c r="A238" s="1421" t="s">
        <v>10</v>
      </c>
      <c r="B238" s="12"/>
      <c r="C238" s="12"/>
      <c r="D238" s="1419" t="s">
        <v>7</v>
      </c>
      <c r="E238" s="1416">
        <f>IF(H238&gt;0,$CE$186,0)</f>
        <v>0</v>
      </c>
      <c r="F238" s="97"/>
      <c r="G238" s="855" t="s">
        <v>59</v>
      </c>
      <c r="H238" s="1413">
        <f>IF(B233=0,0,SUBTOTAL(3,B233))</f>
        <v>0</v>
      </c>
      <c r="I238" s="1277" t="s">
        <v>22</v>
      </c>
      <c r="J238" s="855" t="s">
        <v>59</v>
      </c>
      <c r="K238" s="51">
        <f>IF(H238&gt;0,K235,0)</f>
        <v>0</v>
      </c>
      <c r="L238" s="52" t="s">
        <v>5</v>
      </c>
      <c r="M238" s="1407" t="s">
        <v>122</v>
      </c>
      <c r="N238" s="1402">
        <f>IF(O238=0,0,"―")</f>
        <v>0</v>
      </c>
      <c r="O238" s="1404">
        <f>IF(H238&lt;=0,0,IF($D$183=0,0,IF($D$183=7,BZ248,IF($D$183=5,CA248,IF($D$183=2,CB248,"間違い!")))))</f>
        <v>0</v>
      </c>
      <c r="P238" s="1405"/>
      <c r="Q238" s="1377" t="s">
        <v>130</v>
      </c>
      <c r="R238" s="1403">
        <f>IF(H238&gt;0,IF(K235=0,0,ROUNDDOWN(((E238*H238)*K238/K239)-O238,0)),0)</f>
        <v>0</v>
      </c>
      <c r="S238" s="1408" t="s">
        <v>6</v>
      </c>
      <c r="T238" s="1388" t="s">
        <v>32</v>
      </c>
      <c r="U238" s="1387">
        <f>IF($L$265=$A$265,"限度超過",U236)</f>
        <v>0</v>
      </c>
      <c r="V238" s="1389" t="s">
        <v>6</v>
      </c>
      <c r="W238" s="30" t="s">
        <v>37</v>
      </c>
      <c r="X238" s="29">
        <f t="shared" si="135"/>
        <v>0</v>
      </c>
      <c r="Y238" s="1199" t="s">
        <v>44</v>
      </c>
      <c r="Z238" s="1394">
        <f>IF($AH$13&gt;0,0,BB238)</f>
        <v>0</v>
      </c>
      <c r="AC238" s="492"/>
      <c r="AD238" s="4"/>
      <c r="AE238" s="500" t="str">
        <f>IF($AG$2&gt;0,"限度超過",IF(X234+X235+X236+X237+X238+X239+Z234+Z235+Z236+Z237=Z238,"OK","エラー"))</f>
        <v>OK</v>
      </c>
      <c r="AF238" s="1361">
        <f>IF(H238&gt;0,IF(K235=0,0,ROUNDDOWN((E238*H238)-O238,0)),0)</f>
        <v>0</v>
      </c>
      <c r="AG238" s="4"/>
      <c r="AH238" s="4"/>
      <c r="AI238" s="174"/>
      <c r="AJ238" s="174"/>
      <c r="AK238" s="174"/>
      <c r="AL238" s="174"/>
      <c r="AM238" s="174"/>
      <c r="AN238" s="389"/>
      <c r="AO238" s="364" t="s">
        <v>37</v>
      </c>
      <c r="AP238" s="390">
        <f>ROUND(AP60*AQ233,0)</f>
        <v>0</v>
      </c>
      <c r="AQ238" s="365" t="s">
        <v>44</v>
      </c>
      <c r="AR238" s="366">
        <f>AP234+AP235+AP236+AP237+AP238+AP239+AR234+AR235+AR236+AR237</f>
        <v>0</v>
      </c>
      <c r="AS238" s="389"/>
      <c r="AT238" s="364" t="s">
        <v>37</v>
      </c>
      <c r="AU238" s="390">
        <f>IF(AV233=0,0,IF(AV233&gt;=6,1,IF(AV233&lt;=-6,-1,0)))</f>
        <v>0</v>
      </c>
      <c r="AV238" s="394" t="s">
        <v>44</v>
      </c>
      <c r="AW238" s="395">
        <f>AU234+AU235+AU236+AU237+AU238+AU239+AW234+AW235+AW236+AW237</f>
        <v>0</v>
      </c>
      <c r="AX238" s="359"/>
      <c r="AY238" s="434" t="s">
        <v>37</v>
      </c>
      <c r="AZ238" s="362">
        <f t="shared" si="136"/>
        <v>0</v>
      </c>
      <c r="BA238" s="365" t="s">
        <v>44</v>
      </c>
      <c r="BB238" s="435">
        <f>IF($AG$2&gt;0,"限度超過",AZ234+AZ235+AZ236+AZ237+AZ238+AZ239+BB234+BB235+BB236+BB237)</f>
        <v>0</v>
      </c>
      <c r="BC238" s="359"/>
      <c r="BD238" s="451" t="s">
        <v>37</v>
      </c>
      <c r="BE238" s="81">
        <f t="shared" si="137"/>
        <v>0</v>
      </c>
      <c r="BF238" s="443" t="s">
        <v>44</v>
      </c>
      <c r="BG238" s="29">
        <f>IF($A$265=$L$265,"限度超過",BE234+BE235+BE236+BE237+BE238+BE239+BG234+BG235+BG236+BG237)</f>
        <v>0</v>
      </c>
      <c r="BH238" s="12"/>
      <c r="BI238" s="30" t="s">
        <v>37</v>
      </c>
      <c r="BJ238" s="29">
        <f t="shared" si="138"/>
        <v>0</v>
      </c>
      <c r="BK238" s="98" t="s">
        <v>44</v>
      </c>
      <c r="BL238" s="29">
        <f>IF($A$265=$L$265,"限度超過",BJ234+BJ235+BJ236+BJ237+BJ238+BJ239+BL234+BL235+BL236+BL237)</f>
        <v>0</v>
      </c>
      <c r="BM238" s="12"/>
      <c r="BN238" s="30" t="s">
        <v>37</v>
      </c>
      <c r="BO238" s="29">
        <f t="shared" si="139"/>
        <v>0</v>
      </c>
      <c r="BP238" s="98" t="s">
        <v>44</v>
      </c>
      <c r="BQ238" s="460">
        <f>IF($A$265=$L$265,"限度超過",BO234+BO235+BO236+BO237+BO238+BO239+BQ234+BQ235+BQ236+BQ237)</f>
        <v>0</v>
      </c>
      <c r="BR238" s="12"/>
      <c r="BS238" s="12"/>
      <c r="BT238" s="12"/>
      <c r="BU238" s="12"/>
      <c r="BV238" s="12"/>
      <c r="BW238" s="12"/>
      <c r="BX238" s="67" t="s">
        <v>27</v>
      </c>
      <c r="BY238" s="45">
        <f>IF(BY237&gt;0,ROUNDDOWN(BY234*BY237*BY235/BY236,0),0)</f>
        <v>0</v>
      </c>
      <c r="BZ238" s="45">
        <f>IF(BZ237&gt;0,ROUNDDOWN(BZ234*BZ237*BZ235/BZ236,0),0)</f>
        <v>0</v>
      </c>
      <c r="CA238" s="45">
        <f>IF(CA237&gt;0,ROUNDDOWN(CA234*CA237*CA235/CA236,0),0)</f>
        <v>0</v>
      </c>
      <c r="CB238" s="45">
        <f>IF(CB237&gt;0,ROUNDDOWN(CB234*CB237*CB235/CB236,0),0)</f>
        <v>0</v>
      </c>
      <c r="CC238" s="4"/>
      <c r="CD238" s="4"/>
      <c r="CE238" s="4"/>
      <c r="CF238" s="4"/>
      <c r="CG238" s="4"/>
      <c r="CH238" s="4"/>
      <c r="CI238" s="13"/>
    </row>
    <row r="239" spans="1:87" ht="18.75" customHeight="1">
      <c r="A239" s="1421"/>
      <c r="B239" s="12"/>
      <c r="C239" s="12"/>
      <c r="D239" s="1419"/>
      <c r="E239" s="1416"/>
      <c r="F239" s="12"/>
      <c r="G239" s="855"/>
      <c r="H239" s="1413"/>
      <c r="I239" s="1277"/>
      <c r="J239" s="855"/>
      <c r="K239" s="180">
        <f>IF(H238&gt;0,K236,0)</f>
        <v>0</v>
      </c>
      <c r="L239" s="12" t="s">
        <v>5</v>
      </c>
      <c r="M239" s="1407"/>
      <c r="N239" s="1402"/>
      <c r="O239" s="1405"/>
      <c r="P239" s="1405"/>
      <c r="Q239" s="1377"/>
      <c r="R239" s="1403"/>
      <c r="S239" s="1408"/>
      <c r="T239" s="1388"/>
      <c r="U239" s="1387"/>
      <c r="V239" s="1389"/>
      <c r="W239" s="30" t="s">
        <v>38</v>
      </c>
      <c r="X239" s="29">
        <f t="shared" si="135"/>
        <v>0</v>
      </c>
      <c r="Y239" s="1368"/>
      <c r="Z239" s="1395"/>
      <c r="AC239" s="492"/>
      <c r="AD239" s="4"/>
      <c r="AE239" s="74"/>
      <c r="AF239" s="1360"/>
      <c r="AG239" s="73"/>
      <c r="AH239" s="191"/>
      <c r="AI239" s="174"/>
      <c r="AJ239" s="174"/>
      <c r="AK239" s="174"/>
      <c r="AL239" s="174"/>
      <c r="AM239" s="174"/>
      <c r="AN239" s="389"/>
      <c r="AO239" s="364" t="s">
        <v>38</v>
      </c>
      <c r="AP239" s="390">
        <f>ROUND(AP61*AQ233,0)</f>
        <v>0</v>
      </c>
      <c r="AQ239" s="363" t="s">
        <v>75</v>
      </c>
      <c r="AR239" s="396">
        <f>U238</f>
        <v>0</v>
      </c>
      <c r="AS239" s="389"/>
      <c r="AT239" s="364" t="s">
        <v>38</v>
      </c>
      <c r="AU239" s="390">
        <f>IF(AV233=0,0,IF(AV233&gt;=5,1,IF(AV233&lt;=-5,-1,0)))</f>
        <v>0</v>
      </c>
      <c r="AV239" s="392"/>
      <c r="AW239" s="397" t="str">
        <f>IF(AU234+AU235+AU236+AU237+AU238+AU239+AW234+AW235+AW236+AW237=AV233,"計算ＯＫ","エラー発生")</f>
        <v>計算ＯＫ</v>
      </c>
      <c r="AX239" s="359"/>
      <c r="AY239" s="434" t="s">
        <v>38</v>
      </c>
      <c r="AZ239" s="362">
        <f t="shared" si="136"/>
        <v>0</v>
      </c>
      <c r="BA239" s="363"/>
      <c r="BB239" s="436">
        <f>IF($AG$2&gt;0,"限度超過",U238)</f>
        <v>0</v>
      </c>
      <c r="BC239" s="359"/>
      <c r="BD239" s="451" t="s">
        <v>38</v>
      </c>
      <c r="BE239" s="81">
        <f t="shared" si="137"/>
        <v>0</v>
      </c>
      <c r="BF239" s="82"/>
      <c r="BG239" s="100"/>
      <c r="BH239" s="12"/>
      <c r="BI239" s="30" t="s">
        <v>38</v>
      </c>
      <c r="BJ239" s="29">
        <f t="shared" si="138"/>
        <v>0</v>
      </c>
      <c r="BK239" s="30"/>
      <c r="BL239" s="100"/>
      <c r="BM239" s="12"/>
      <c r="BN239" s="30" t="s">
        <v>38</v>
      </c>
      <c r="BO239" s="29">
        <f t="shared" si="139"/>
        <v>0</v>
      </c>
      <c r="BP239" s="30"/>
      <c r="BQ239" s="461"/>
      <c r="BR239" s="12"/>
      <c r="BS239" s="12"/>
      <c r="BT239" s="12"/>
      <c r="BU239" s="12"/>
      <c r="BV239" s="12"/>
      <c r="BW239" s="12"/>
      <c r="BX239" s="4"/>
      <c r="BY239" s="4"/>
      <c r="BZ239" s="4"/>
      <c r="CA239" s="4"/>
      <c r="CB239" s="4"/>
      <c r="CC239" s="4"/>
      <c r="CD239" s="4"/>
      <c r="CE239" s="4"/>
      <c r="CF239" s="4"/>
      <c r="CG239" s="4"/>
      <c r="CH239" s="4"/>
      <c r="CI239" s="13"/>
    </row>
    <row r="240" spans="1:87" ht="18.75" customHeight="1">
      <c r="A240" s="202"/>
      <c r="B240" s="75" t="s">
        <v>118</v>
      </c>
      <c r="C240" s="12"/>
      <c r="D240" s="160"/>
      <c r="E240" s="161"/>
      <c r="F240" s="12"/>
      <c r="G240" s="50"/>
      <c r="H240" s="162"/>
      <c r="I240" s="159"/>
      <c r="J240" s="50"/>
      <c r="K240" s="180"/>
      <c r="L240" s="12"/>
      <c r="M240" s="86"/>
      <c r="N240" s="86"/>
      <c r="O240" s="181"/>
      <c r="P240" s="181"/>
      <c r="Q240" s="156"/>
      <c r="R240" s="157"/>
      <c r="S240" s="49"/>
      <c r="T240" s="50"/>
      <c r="U240" s="182"/>
      <c r="V240" s="50"/>
      <c r="W240" s="4"/>
      <c r="X240" s="26"/>
      <c r="Y240" s="170"/>
      <c r="Z240" s="187"/>
      <c r="AC240" s="492"/>
      <c r="AD240" s="4"/>
      <c r="AE240" s="74"/>
      <c r="AF240" s="236"/>
      <c r="AG240" s="26"/>
      <c r="AH240" s="26"/>
      <c r="AI240" s="174"/>
      <c r="AJ240" s="174"/>
      <c r="AK240" s="174"/>
      <c r="AL240" s="174"/>
      <c r="AM240" s="174"/>
      <c r="AN240" s="389"/>
      <c r="AO240" s="367"/>
      <c r="AP240" s="398"/>
      <c r="AQ240" s="368"/>
      <c r="AR240" s="368"/>
      <c r="AS240" s="389"/>
      <c r="AT240" s="389"/>
      <c r="AU240" s="389"/>
      <c r="AV240" s="389"/>
      <c r="AW240" s="389"/>
      <c r="AX240" s="359"/>
      <c r="AY240" s="437"/>
      <c r="AZ240" s="470" t="str">
        <f>IF($AG$2&gt;0,"限度超過","－")</f>
        <v>－</v>
      </c>
      <c r="BA240" s="368"/>
      <c r="BB240" s="469" t="str">
        <f>IF(BB238=BB239,"OK","エラー")</f>
        <v>OK</v>
      </c>
      <c r="BC240" s="359"/>
      <c r="BD240" s="452"/>
      <c r="BF240" s="4" t="s">
        <v>260</v>
      </c>
      <c r="BH240" s="12"/>
      <c r="BM240" s="12"/>
      <c r="BQ240" s="462"/>
      <c r="BR240" s="12"/>
      <c r="BS240" s="12"/>
      <c r="BT240" s="12"/>
      <c r="BU240" s="12"/>
      <c r="BV240" s="12"/>
      <c r="BW240" s="12"/>
      <c r="BX240" s="4"/>
      <c r="BY240" s="4"/>
      <c r="BZ240" s="4"/>
      <c r="CA240" s="4"/>
      <c r="CB240" s="4"/>
      <c r="CC240" s="4"/>
      <c r="CD240" s="4"/>
      <c r="CE240" s="4"/>
      <c r="CF240" s="4"/>
      <c r="CG240" s="4"/>
      <c r="CH240" s="4"/>
      <c r="CI240" s="13"/>
    </row>
    <row r="241" spans="1:87" ht="18.75" customHeight="1">
      <c r="A241" s="58" t="s">
        <v>1</v>
      </c>
      <c r="B241" s="52"/>
      <c r="C241" s="189">
        <f>IF(H238&gt;0,$X$191,0)</f>
        <v>0</v>
      </c>
      <c r="D241" s="203" t="s">
        <v>6</v>
      </c>
      <c r="E241" s="60" t="s">
        <v>131</v>
      </c>
      <c r="F241" s="1204">
        <f>K235</f>
        <v>0</v>
      </c>
      <c r="G241" s="1204"/>
      <c r="H241" s="216" t="s">
        <v>5</v>
      </c>
      <c r="I241" s="1451" t="s">
        <v>14</v>
      </c>
      <c r="J241" s="1451"/>
      <c r="K241" s="1204">
        <f>C241*F241</f>
        <v>0</v>
      </c>
      <c r="L241" s="1204"/>
      <c r="M241" s="204" t="s">
        <v>6</v>
      </c>
      <c r="N241" s="204"/>
      <c r="O241" s="205"/>
      <c r="P241" s="205"/>
      <c r="Q241" s="63"/>
      <c r="R241" s="206"/>
      <c r="S241" s="59"/>
      <c r="T241" s="27"/>
      <c r="U241" s="207"/>
      <c r="V241" s="27"/>
      <c r="W241" s="188"/>
      <c r="X241" s="189"/>
      <c r="Y241" s="208"/>
      <c r="Z241" s="163"/>
      <c r="AC241" s="492"/>
      <c r="AD241" s="4"/>
      <c r="AE241" s="74"/>
      <c r="AF241" s="237"/>
      <c r="AG241" s="26"/>
      <c r="AH241" s="26"/>
      <c r="AI241" s="174"/>
      <c r="AJ241" s="174"/>
      <c r="AK241" s="174"/>
      <c r="AL241" s="174"/>
      <c r="AM241" s="174"/>
      <c r="AN241" s="389"/>
      <c r="AO241" s="386" t="s">
        <v>240</v>
      </c>
      <c r="AP241" s="1266" t="s">
        <v>223</v>
      </c>
      <c r="AQ241" s="1266"/>
      <c r="AR241" s="1266"/>
      <c r="AS241" s="389"/>
      <c r="AT241" s="1289" t="s">
        <v>240</v>
      </c>
      <c r="AU241" s="1289"/>
      <c r="AV241" s="387"/>
      <c r="AW241" s="387"/>
      <c r="AX241" s="359"/>
      <c r="AY241" s="1288" t="s">
        <v>240</v>
      </c>
      <c r="AZ241" s="1289"/>
      <c r="BA241" s="368"/>
      <c r="BB241" s="439"/>
      <c r="BC241" s="359"/>
      <c r="BD241" s="1276" t="s">
        <v>240</v>
      </c>
      <c r="BE241" s="1274"/>
      <c r="BF241" s="4" t="s">
        <v>261</v>
      </c>
      <c r="BH241" s="12"/>
      <c r="BI241" s="1274" t="s">
        <v>240</v>
      </c>
      <c r="BJ241" s="1274"/>
      <c r="BM241" s="12"/>
      <c r="BN241" s="1274" t="s">
        <v>240</v>
      </c>
      <c r="BO241" s="1274"/>
      <c r="BQ241" s="462"/>
      <c r="BR241" s="12"/>
      <c r="BS241" s="12"/>
      <c r="BT241" s="12"/>
      <c r="BU241" s="12"/>
      <c r="BV241" s="12"/>
      <c r="BW241" s="12"/>
      <c r="BX241" s="4"/>
      <c r="BY241" s="4"/>
      <c r="BZ241" s="4"/>
      <c r="CA241" s="4"/>
      <c r="CB241" s="4"/>
      <c r="CC241" s="4"/>
      <c r="CD241" s="4"/>
      <c r="CE241" s="4"/>
      <c r="CF241" s="4"/>
      <c r="CG241" s="4"/>
      <c r="CH241" s="4"/>
      <c r="CI241" s="13"/>
    </row>
    <row r="242" spans="1:87" ht="18.75" customHeight="1">
      <c r="D242" s="101"/>
      <c r="E242" s="70"/>
      <c r="G242" s="9"/>
      <c r="H242" s="102"/>
      <c r="I242" s="5"/>
      <c r="J242" s="9"/>
      <c r="K242" s="18"/>
      <c r="M242" s="103"/>
      <c r="P242" s="103"/>
      <c r="Q242" s="70"/>
      <c r="R242" s="104"/>
      <c r="S242" s="68"/>
      <c r="T242" s="68"/>
      <c r="U242" s="68"/>
      <c r="V242" s="18"/>
      <c r="AC242" s="492"/>
      <c r="AD242" s="4"/>
      <c r="AE242" s="74"/>
      <c r="AF242" s="233"/>
      <c r="AG242" s="26"/>
      <c r="AH242" s="26"/>
      <c r="AI242" s="174"/>
      <c r="AJ242" s="174"/>
      <c r="AK242" s="174"/>
      <c r="AL242" s="174"/>
      <c r="AM242" s="174"/>
      <c r="AN242" s="389"/>
      <c r="AO242" s="371" t="s">
        <v>219</v>
      </c>
      <c r="AP242" s="360"/>
      <c r="AQ242" s="399"/>
      <c r="AR242" s="399"/>
      <c r="AS242" s="389"/>
      <c r="AT242" s="1301" t="s">
        <v>220</v>
      </c>
      <c r="AU242" s="1301"/>
      <c r="AV242" s="1301"/>
      <c r="AW242" s="1301"/>
      <c r="AX242" s="359"/>
      <c r="AY242" s="431" t="s">
        <v>226</v>
      </c>
      <c r="AZ242" s="1281" t="s">
        <v>225</v>
      </c>
      <c r="BA242" s="1281"/>
      <c r="BB242" s="1282"/>
      <c r="BC242" s="359"/>
      <c r="BD242" s="1267" t="s">
        <v>264</v>
      </c>
      <c r="BE242" s="1268"/>
      <c r="BF242" s="1268"/>
      <c r="BG242" s="1268"/>
      <c r="BH242" s="12"/>
      <c r="BI242" s="440" t="s">
        <v>265</v>
      </c>
      <c r="BJ242" s="1269" t="s">
        <v>263</v>
      </c>
      <c r="BK242" s="1269"/>
      <c r="BL242" s="1269"/>
      <c r="BM242" s="12"/>
      <c r="BN242" s="12"/>
      <c r="BO242" s="143" t="s">
        <v>266</v>
      </c>
      <c r="BP242" s="12" t="s">
        <v>88</v>
      </c>
      <c r="BQ242" s="449"/>
      <c r="BR242" s="12"/>
      <c r="BS242" s="12"/>
      <c r="BT242" s="12"/>
      <c r="BU242" s="12"/>
      <c r="BV242" s="12"/>
      <c r="BW242" s="12"/>
      <c r="BX242" s="4"/>
      <c r="BY242" s="4"/>
      <c r="BZ242" s="4"/>
      <c r="CA242" s="4"/>
      <c r="CB242" s="4"/>
      <c r="CC242" s="4"/>
      <c r="CD242" s="4"/>
      <c r="CE242" s="4"/>
      <c r="CF242" s="4"/>
      <c r="CG242" s="4"/>
      <c r="CH242" s="4"/>
      <c r="CI242" s="13"/>
    </row>
    <row r="243" spans="1:87" ht="18.75" customHeight="1">
      <c r="A243" s="196" t="s">
        <v>45</v>
      </c>
      <c r="B243" s="1382">
        <f>IF(I243=1,B65,0)</f>
        <v>0</v>
      </c>
      <c r="C243" s="1382"/>
      <c r="D243" s="1382"/>
      <c r="E243" s="198" t="s">
        <v>11</v>
      </c>
      <c r="F243" s="1412" t="s">
        <v>57</v>
      </c>
      <c r="G243" s="1412"/>
      <c r="H243" s="1412"/>
      <c r="I243" s="1449">
        <f>IF(I65=1,1,0)</f>
        <v>0</v>
      </c>
      <c r="J243" s="1450"/>
      <c r="K243" s="1373">
        <f>IF($AG$2&gt;0,0,IF((X245+X246+X247+X248+X249+Z244+Z245+Z246+Z247)&lt;0,"＊＊エラー介護該当者は①から入力＊＊",0))</f>
        <v>0</v>
      </c>
      <c r="L243" s="1374"/>
      <c r="M243" s="1374"/>
      <c r="N243" s="1374"/>
      <c r="O243" s="1374"/>
      <c r="P243" s="1374"/>
      <c r="Q243" s="1374"/>
      <c r="R243" s="1374"/>
      <c r="S243" s="1375"/>
      <c r="T243" s="197" t="s">
        <v>47</v>
      </c>
      <c r="U243" s="1383">
        <f>IF(U248&gt;0,"介護分",0)</f>
        <v>0</v>
      </c>
      <c r="V243" s="1384"/>
      <c r="W243" s="1385" t="s">
        <v>46</v>
      </c>
      <c r="X243" s="1164"/>
      <c r="Y243" s="1164"/>
      <c r="Z243" s="1165"/>
      <c r="AC243" s="492"/>
      <c r="AD243" s="4"/>
      <c r="AE243" s="74"/>
      <c r="AF243" s="238" t="s">
        <v>117</v>
      </c>
      <c r="AG243" s="26"/>
      <c r="AH243" s="276">
        <f>IF(K245=0,0,IF(K245&lt;12,1,0))</f>
        <v>0</v>
      </c>
      <c r="AI243" s="174"/>
      <c r="AJ243" s="174"/>
      <c r="AK243" s="174"/>
      <c r="AL243" s="174"/>
      <c r="AM243" s="174"/>
      <c r="AN243" s="400" t="s">
        <v>149</v>
      </c>
      <c r="AO243" s="1320" t="s">
        <v>46</v>
      </c>
      <c r="AP243" s="1287"/>
      <c r="AQ243" s="1396">
        <f>IF(AR70=0,0,ROUNDDOWN(AR249/AR70,8))</f>
        <v>0</v>
      </c>
      <c r="AR243" s="1397"/>
      <c r="AS243" s="389"/>
      <c r="AT243" s="1320" t="s">
        <v>215</v>
      </c>
      <c r="AU243" s="1287"/>
      <c r="AV243" s="1284">
        <f>IF($AG$184&gt;0,0,AR249-AR248)</f>
        <v>0</v>
      </c>
      <c r="AW243" s="1285"/>
      <c r="AX243" s="359"/>
      <c r="AY243" s="1286" t="s">
        <v>46</v>
      </c>
      <c r="AZ243" s="1287"/>
      <c r="BA243" s="1456">
        <f>IF(R245+R248=0,0,IF(K246&gt;K245,"期割がアンマッチ使用禁止↓",0))</f>
        <v>0</v>
      </c>
      <c r="BB243" s="1457"/>
      <c r="BC243" s="359"/>
      <c r="BD243" s="1272" t="s">
        <v>46</v>
      </c>
      <c r="BE243" s="1273"/>
      <c r="BF243" s="1270"/>
      <c r="BG243" s="1271"/>
      <c r="BH243" s="12"/>
      <c r="BI243" s="1139" t="s">
        <v>46</v>
      </c>
      <c r="BJ243" s="1273"/>
      <c r="BK243" s="1270"/>
      <c r="BL243" s="1271"/>
      <c r="BM243" s="12"/>
      <c r="BN243" s="1139" t="s">
        <v>46</v>
      </c>
      <c r="BO243" s="1273"/>
      <c r="BP243" s="1270"/>
      <c r="BQ243" s="1278"/>
      <c r="BR243" s="12"/>
      <c r="BS243" s="12"/>
      <c r="BT243" s="12"/>
      <c r="BU243" s="12"/>
      <c r="BV243" s="12"/>
      <c r="BW243" s="12"/>
      <c r="BX243" s="32"/>
      <c r="BY243" s="33" t="str">
        <f>BY233</f>
        <v>料率</v>
      </c>
      <c r="BZ243" s="33">
        <f>BZ233</f>
        <v>7</v>
      </c>
      <c r="CA243" s="33">
        <f>CA233</f>
        <v>5</v>
      </c>
      <c r="CB243" s="33">
        <f>CB233</f>
        <v>2</v>
      </c>
      <c r="CC243" s="4"/>
      <c r="CD243" s="4"/>
      <c r="CE243" s="4"/>
      <c r="CF243" s="4"/>
      <c r="CG243" s="4"/>
      <c r="CH243" s="4"/>
      <c r="CI243" s="13"/>
    </row>
    <row r="244" spans="1:87" ht="18.75" customHeight="1">
      <c r="A244" s="165"/>
      <c r="B244" s="12"/>
      <c r="C244" s="75" t="s">
        <v>33</v>
      </c>
      <c r="D244" s="12"/>
      <c r="E244" s="12"/>
      <c r="F244" s="12"/>
      <c r="G244" s="12"/>
      <c r="H244" s="50"/>
      <c r="I244" s="93"/>
      <c r="J244" s="12"/>
      <c r="K244" s="76" t="s">
        <v>9</v>
      </c>
      <c r="L244" s="12"/>
      <c r="M244" s="1409">
        <f>IF(R245+R248=0, 0, IF(K246=K245,0,IF(K246&gt;K245,"年度途中で資格変動有？保険料内訳のみ使用可能",0)))</f>
        <v>0</v>
      </c>
      <c r="N244" s="1409"/>
      <c r="O244" s="1409"/>
      <c r="P244" s="1409"/>
      <c r="Q244" s="1409"/>
      <c r="R244" s="1409"/>
      <c r="S244" s="1410"/>
      <c r="T244" s="72" t="s">
        <v>30</v>
      </c>
      <c r="U244" s="105">
        <f>R245+R248</f>
        <v>0</v>
      </c>
      <c r="V244" s="88" t="s">
        <v>6</v>
      </c>
      <c r="W244" s="80" t="s">
        <v>34</v>
      </c>
      <c r="X244" s="29">
        <f t="shared" ref="X244:X249" si="141">IF($AH$13&gt;0,0,AZ244)</f>
        <v>0</v>
      </c>
      <c r="Y244" s="80" t="s">
        <v>39</v>
      </c>
      <c r="Z244" s="31">
        <f>IF($AH$13&gt;0,0,BB244)</f>
        <v>0</v>
      </c>
      <c r="AC244" s="492"/>
      <c r="AD244" s="4"/>
      <c r="AE244" s="74"/>
      <c r="AF244" s="219">
        <f>AF245+AF248+AF251</f>
        <v>0</v>
      </c>
      <c r="AG244" s="4"/>
      <c r="AH244" s="4"/>
      <c r="AI244" s="174"/>
      <c r="AJ244" s="174"/>
      <c r="AK244" s="174"/>
      <c r="AL244" s="174"/>
      <c r="AM244" s="174"/>
      <c r="AN244" s="389"/>
      <c r="AO244" s="361" t="s">
        <v>34</v>
      </c>
      <c r="AP244" s="390">
        <f>ROUND(AP66*AQ243,0)</f>
        <v>0</v>
      </c>
      <c r="AQ244" s="363" t="s">
        <v>39</v>
      </c>
      <c r="AR244" s="391">
        <f>ROUND(AR66*AQ243,0)</f>
        <v>0</v>
      </c>
      <c r="AS244" s="389"/>
      <c r="AT244" s="364" t="s">
        <v>34</v>
      </c>
      <c r="AU244" s="390">
        <f>IF(AV243=0,0,IF(AV243&gt;=10,1,IF(AV243&lt;=-10,-1,0)))</f>
        <v>0</v>
      </c>
      <c r="AV244" s="392" t="s">
        <v>39</v>
      </c>
      <c r="AW244" s="391">
        <f>IF(AV243=0,0,IF(AV243&gt;=4,1,IF(AV243&lt;=-4,-1,0)))</f>
        <v>0</v>
      </c>
      <c r="AX244" s="359"/>
      <c r="AY244" s="432" t="s">
        <v>34</v>
      </c>
      <c r="AZ244" s="362">
        <f t="shared" ref="AZ244:AZ249" si="142">IF($AG$2&gt;0,"限度超過",AP244+AU244)</f>
        <v>0</v>
      </c>
      <c r="BA244" s="363" t="s">
        <v>39</v>
      </c>
      <c r="BB244" s="433">
        <f>IF($AG$2&gt;0,"限度超過",AR244+AW244)</f>
        <v>0</v>
      </c>
      <c r="BC244" s="359"/>
      <c r="BD244" s="451" t="s">
        <v>34</v>
      </c>
      <c r="BE244" s="81">
        <f t="shared" ref="BE244:BE249" si="143">BE234</f>
        <v>0</v>
      </c>
      <c r="BF244" s="82" t="s">
        <v>39</v>
      </c>
      <c r="BG244" s="29">
        <f>BG234</f>
        <v>0</v>
      </c>
      <c r="BH244" s="12"/>
      <c r="BI244" s="80" t="s">
        <v>34</v>
      </c>
      <c r="BJ244" s="29">
        <f t="shared" ref="BJ244:BJ249" si="144">IF($A$265=$L$265,"限度超過",IF(BE244=0,0,BE244/$S$183))</f>
        <v>0</v>
      </c>
      <c r="BK244" s="80" t="s">
        <v>39</v>
      </c>
      <c r="BL244" s="29">
        <f>IF($A$265=$L$265,"限度超過",IF(BG244=0,0,BG244/$S$183))</f>
        <v>0</v>
      </c>
      <c r="BM244" s="12"/>
      <c r="BN244" s="30" t="s">
        <v>34</v>
      </c>
      <c r="BO244" s="29">
        <f t="shared" ref="BO244:BO249" si="145">IF($A$265=$L$265,"限度超過",IF($S$183&lt;=5,0,BJ244))</f>
        <v>0</v>
      </c>
      <c r="BP244" s="80" t="s">
        <v>39</v>
      </c>
      <c r="BQ244" s="460">
        <f>IF($A$265=$L$265,"限度超過",IF($S$183&lt;=5,0,BL244))</f>
        <v>0</v>
      </c>
      <c r="BR244" s="12"/>
      <c r="BS244" s="12"/>
      <c r="BT244" s="12"/>
      <c r="BU244" s="12"/>
      <c r="BV244" s="12"/>
      <c r="BW244" s="12"/>
      <c r="BX244" s="32" t="s">
        <v>17</v>
      </c>
      <c r="BY244" s="44">
        <v>0</v>
      </c>
      <c r="BZ244" s="45">
        <f>$CF$186</f>
        <v>5440</v>
      </c>
      <c r="CA244" s="45">
        <f>$CG$186</f>
        <v>3880</v>
      </c>
      <c r="CB244" s="45">
        <f>$CH$186</f>
        <v>1560</v>
      </c>
      <c r="CC244" s="4"/>
      <c r="CD244" s="4"/>
      <c r="CE244" s="4"/>
      <c r="CF244" s="4"/>
      <c r="CG244" s="4"/>
      <c r="CH244" s="4"/>
      <c r="CI244" s="13"/>
    </row>
    <row r="245" spans="1:87" ht="18.75" customHeight="1">
      <c r="A245" s="1421" t="s">
        <v>0</v>
      </c>
      <c r="B245" s="1448" t="s">
        <v>129</v>
      </c>
      <c r="C245" s="1376">
        <f>IF(K245&gt;0,C67,0)</f>
        <v>0</v>
      </c>
      <c r="D245" s="855" t="s">
        <v>58</v>
      </c>
      <c r="E245" s="1416">
        <f>IF(H248&gt;0,$CE$189, 0)</f>
        <v>0</v>
      </c>
      <c r="F245" s="1380" t="s">
        <v>22</v>
      </c>
      <c r="G245" s="855" t="s">
        <v>59</v>
      </c>
      <c r="H245" s="85">
        <f>IF(H248&gt;0,$CE$185,0)</f>
        <v>0</v>
      </c>
      <c r="I245" s="1277" t="s">
        <v>22</v>
      </c>
      <c r="J245" s="855" t="s">
        <v>59</v>
      </c>
      <c r="K245" s="51">
        <f>入力画面!I40</f>
        <v>0</v>
      </c>
      <c r="L245" s="52" t="s">
        <v>5</v>
      </c>
      <c r="M245" s="1380"/>
      <c r="N245" s="1407"/>
      <c r="O245" s="86"/>
      <c r="P245" s="1377" t="s">
        <v>130</v>
      </c>
      <c r="Q245" s="1377"/>
      <c r="R245" s="1403">
        <f>ROUNDDOWN(IF(((C245-E245)*H245/H246)*K245/K246&lt;0,0,((C245-E245)*H245/H246)*K245/K246),0)</f>
        <v>0</v>
      </c>
      <c r="S245" s="1408" t="s">
        <v>6</v>
      </c>
      <c r="T245" s="72" t="s">
        <v>1</v>
      </c>
      <c r="U245" s="105">
        <f>IF(H248=0,0,K251)</f>
        <v>0</v>
      </c>
      <c r="V245" s="88" t="s">
        <v>6</v>
      </c>
      <c r="W245" s="30" t="s">
        <v>35</v>
      </c>
      <c r="X245" s="29">
        <f t="shared" si="141"/>
        <v>0</v>
      </c>
      <c r="Y245" s="30" t="s">
        <v>40</v>
      </c>
      <c r="Z245" s="31">
        <f>IF($AH$13&gt;0,0,BB245)</f>
        <v>0</v>
      </c>
      <c r="AC245" s="492"/>
      <c r="AD245" s="4"/>
      <c r="AE245" s="74"/>
      <c r="AF245" s="1360">
        <f>ROUNDDOWN(IF(((C245-E245)*H245/H246)&lt;0,0,((C245-E245)*H245/H246)),0)</f>
        <v>0</v>
      </c>
      <c r="AG245" s="4"/>
      <c r="AH245" s="4"/>
      <c r="AI245" s="174"/>
      <c r="AJ245" s="174"/>
      <c r="AK245" s="174"/>
      <c r="AL245" s="174"/>
      <c r="AM245" s="174"/>
      <c r="AN245" s="389"/>
      <c r="AO245" s="364" t="s">
        <v>35</v>
      </c>
      <c r="AP245" s="390">
        <f>ROUND(AP67*AQ243,0)</f>
        <v>0</v>
      </c>
      <c r="AQ245" s="363" t="s">
        <v>40</v>
      </c>
      <c r="AR245" s="391">
        <f>ROUND(AR67*AQ243,0)</f>
        <v>0</v>
      </c>
      <c r="AS245" s="389"/>
      <c r="AT245" s="364" t="s">
        <v>35</v>
      </c>
      <c r="AU245" s="390">
        <f>IF(AV243=0,0,IF(AV243&gt;=9,1,IF(AV243&lt;=-9,-1,0)))</f>
        <v>0</v>
      </c>
      <c r="AV245" s="392" t="s">
        <v>40</v>
      </c>
      <c r="AW245" s="391">
        <f>IF(AV243=0,0,IF(AV243&gt;=3,1,IF(AV243&lt;=-3,-1,0)))</f>
        <v>0</v>
      </c>
      <c r="AX245" s="359"/>
      <c r="AY245" s="434" t="s">
        <v>35</v>
      </c>
      <c r="AZ245" s="362">
        <f t="shared" si="142"/>
        <v>0</v>
      </c>
      <c r="BA245" s="363" t="s">
        <v>40</v>
      </c>
      <c r="BB245" s="433">
        <f>IF($AG$2&gt;0,"限度超過",AR245+AW245)</f>
        <v>0</v>
      </c>
      <c r="BC245" s="359"/>
      <c r="BD245" s="451" t="s">
        <v>35</v>
      </c>
      <c r="BE245" s="81">
        <f t="shared" si="143"/>
        <v>0</v>
      </c>
      <c r="BF245" s="82" t="s">
        <v>40</v>
      </c>
      <c r="BG245" s="29">
        <f>BG235</f>
        <v>0</v>
      </c>
      <c r="BH245" s="12"/>
      <c r="BI245" s="30" t="s">
        <v>35</v>
      </c>
      <c r="BJ245" s="29">
        <f t="shared" si="144"/>
        <v>0</v>
      </c>
      <c r="BK245" s="30" t="s">
        <v>40</v>
      </c>
      <c r="BL245" s="29">
        <f>IF($A$265=$L$265,"限度超過",IF(BG245=0,0,BG245/$S$183))</f>
        <v>0</v>
      </c>
      <c r="BM245" s="12"/>
      <c r="BN245" s="30" t="s">
        <v>35</v>
      </c>
      <c r="BO245" s="29">
        <f t="shared" si="145"/>
        <v>0</v>
      </c>
      <c r="BP245" s="30" t="s">
        <v>40</v>
      </c>
      <c r="BQ245" s="460">
        <f>IF($A$265=$L$265,"限度超過",IF($S$183&lt;=5,0,BL245))</f>
        <v>0</v>
      </c>
      <c r="BR245" s="12"/>
      <c r="BS245" s="12"/>
      <c r="BT245" s="12"/>
      <c r="BU245" s="12"/>
      <c r="BV245" s="12"/>
      <c r="BW245" s="12"/>
      <c r="BX245" s="32" t="s">
        <v>8</v>
      </c>
      <c r="BY245" s="45">
        <f>K238</f>
        <v>0</v>
      </c>
      <c r="BZ245" s="45">
        <f t="shared" ref="BZ245:CB247" si="146">BY245</f>
        <v>0</v>
      </c>
      <c r="CA245" s="45">
        <f t="shared" si="146"/>
        <v>0</v>
      </c>
      <c r="CB245" s="45">
        <f t="shared" si="146"/>
        <v>0</v>
      </c>
      <c r="CC245" s="4"/>
      <c r="CD245" s="4"/>
      <c r="CE245" s="4"/>
      <c r="CF245" s="4"/>
      <c r="CG245" s="4"/>
      <c r="CH245" s="4"/>
      <c r="CI245" s="13"/>
    </row>
    <row r="246" spans="1:87" ht="18.75" customHeight="1">
      <c r="A246" s="1421"/>
      <c r="B246" s="1448"/>
      <c r="C246" s="1376"/>
      <c r="D246" s="855"/>
      <c r="E246" s="1416"/>
      <c r="F246" s="1380"/>
      <c r="G246" s="855"/>
      <c r="H246" s="39">
        <v>100</v>
      </c>
      <c r="I246" s="1277"/>
      <c r="J246" s="855"/>
      <c r="K246" s="55">
        <v>12</v>
      </c>
      <c r="L246" s="12" t="s">
        <v>5</v>
      </c>
      <c r="M246" s="1380"/>
      <c r="N246" s="1407"/>
      <c r="O246" s="86"/>
      <c r="P246" s="1377"/>
      <c r="Q246" s="1377"/>
      <c r="R246" s="1403"/>
      <c r="S246" s="1408"/>
      <c r="T246" s="72" t="s">
        <v>29</v>
      </c>
      <c r="U246" s="105">
        <f>U244+U245</f>
        <v>0</v>
      </c>
      <c r="V246" s="88" t="s">
        <v>6</v>
      </c>
      <c r="W246" s="30" t="s">
        <v>36</v>
      </c>
      <c r="X246" s="29">
        <f t="shared" si="141"/>
        <v>0</v>
      </c>
      <c r="Y246" s="30" t="s">
        <v>41</v>
      </c>
      <c r="Z246" s="31">
        <f>IF($AH$13&gt;0,0,BB246)</f>
        <v>0</v>
      </c>
      <c r="AC246" s="492"/>
      <c r="AD246" s="4"/>
      <c r="AE246" s="489"/>
      <c r="AF246" s="1360"/>
      <c r="AG246" s="4"/>
      <c r="AI246" s="174"/>
      <c r="AJ246" s="174"/>
      <c r="AK246" s="174"/>
      <c r="AL246" s="174"/>
      <c r="AM246" s="174"/>
      <c r="AN246" s="389"/>
      <c r="AO246" s="364" t="s">
        <v>36</v>
      </c>
      <c r="AP246" s="390">
        <f>ROUND(AP68*AQ243,0)</f>
        <v>0</v>
      </c>
      <c r="AQ246" s="363" t="s">
        <v>41</v>
      </c>
      <c r="AR246" s="391">
        <f>ROUND(AR68*AQ243,0)</f>
        <v>0</v>
      </c>
      <c r="AS246" s="389"/>
      <c r="AT246" s="364" t="s">
        <v>36</v>
      </c>
      <c r="AU246" s="390">
        <f>IF(AV243=0,0,IF(AV243&gt;=8,1,IF(AV243&lt;=-8,-1,0)))</f>
        <v>0</v>
      </c>
      <c r="AV246" s="392" t="s">
        <v>41</v>
      </c>
      <c r="AW246" s="391">
        <f>IF(AV243=0,0,IF(AV243&gt;=2,1,IF(AV243&lt;=-2,-1,0)))</f>
        <v>0</v>
      </c>
      <c r="AX246" s="359"/>
      <c r="AY246" s="434" t="s">
        <v>36</v>
      </c>
      <c r="AZ246" s="362">
        <f t="shared" si="142"/>
        <v>0</v>
      </c>
      <c r="BA246" s="363" t="s">
        <v>41</v>
      </c>
      <c r="BB246" s="433">
        <f>IF($AG$2&gt;0,"限度超過",AR246+AW246)</f>
        <v>0</v>
      </c>
      <c r="BC246" s="359"/>
      <c r="BD246" s="451" t="s">
        <v>36</v>
      </c>
      <c r="BE246" s="81">
        <f t="shared" si="143"/>
        <v>0</v>
      </c>
      <c r="BF246" s="82" t="s">
        <v>41</v>
      </c>
      <c r="BG246" s="29">
        <f>BG236</f>
        <v>0</v>
      </c>
      <c r="BH246" s="12"/>
      <c r="BI246" s="30" t="s">
        <v>36</v>
      </c>
      <c r="BJ246" s="29">
        <f t="shared" si="144"/>
        <v>0</v>
      </c>
      <c r="BK246" s="30" t="s">
        <v>41</v>
      </c>
      <c r="BL246" s="29">
        <f>IF($A$265=$L$265,"限度超過",IF(BG246=0,0,BG246/$S$183))</f>
        <v>0</v>
      </c>
      <c r="BM246" s="12"/>
      <c r="BN246" s="30" t="s">
        <v>36</v>
      </c>
      <c r="BO246" s="29">
        <f t="shared" si="145"/>
        <v>0</v>
      </c>
      <c r="BP246" s="30" t="s">
        <v>41</v>
      </c>
      <c r="BQ246" s="460">
        <f>IF($A$265=$L$265,"限度超過",IF($S$183&lt;=5,0,BL246))</f>
        <v>0</v>
      </c>
      <c r="BR246" s="12"/>
      <c r="BS246" s="12"/>
      <c r="BT246" s="12"/>
      <c r="BU246" s="12"/>
      <c r="BV246" s="12"/>
      <c r="BW246" s="12"/>
      <c r="BX246" s="32" t="s">
        <v>25</v>
      </c>
      <c r="BY246" s="45">
        <f>K239</f>
        <v>0</v>
      </c>
      <c r="BZ246" s="45">
        <f t="shared" si="146"/>
        <v>0</v>
      </c>
      <c r="CA246" s="45">
        <f t="shared" si="146"/>
        <v>0</v>
      </c>
      <c r="CB246" s="45">
        <f t="shared" si="146"/>
        <v>0</v>
      </c>
      <c r="CC246" s="4"/>
      <c r="CD246" s="4"/>
      <c r="CE246" s="4"/>
      <c r="CF246" s="4"/>
      <c r="CG246" s="4"/>
      <c r="CH246" s="4"/>
      <c r="CI246" s="13"/>
    </row>
    <row r="247" spans="1:87" ht="18.75" customHeight="1">
      <c r="A247" s="165"/>
      <c r="B247" s="12"/>
      <c r="C247" s="50"/>
      <c r="D247" s="12"/>
      <c r="E247" s="12"/>
      <c r="F247" s="12"/>
      <c r="G247" s="12"/>
      <c r="H247" s="91"/>
      <c r="I247" s="75"/>
      <c r="J247" s="75"/>
      <c r="K247" s="92"/>
      <c r="L247" s="75"/>
      <c r="M247" s="93"/>
      <c r="N247" s="94"/>
      <c r="O247" s="42">
        <f>IF(H248=0,0,$D$183)</f>
        <v>0</v>
      </c>
      <c r="P247" s="466">
        <f>IF(O248=0,0,"軽減額")</f>
        <v>0</v>
      </c>
      <c r="Q247" s="12"/>
      <c r="R247" s="95"/>
      <c r="S247" s="49"/>
      <c r="T247" s="96" t="s">
        <v>31</v>
      </c>
      <c r="U247" s="105">
        <f>ROUNDDOWN(U246,-2)</f>
        <v>0</v>
      </c>
      <c r="V247" s="88" t="s">
        <v>6</v>
      </c>
      <c r="W247" s="30" t="s">
        <v>43</v>
      </c>
      <c r="X247" s="29">
        <f t="shared" si="141"/>
        <v>0</v>
      </c>
      <c r="Y247" s="30" t="s">
        <v>42</v>
      </c>
      <c r="Z247" s="31">
        <f>IF($AH$13&gt;0,0,BB247)</f>
        <v>0</v>
      </c>
      <c r="AC247" s="492"/>
      <c r="AD247" s="4"/>
      <c r="AE247" s="500" t="str">
        <f>IF($AH$13&gt;0,"－",IF($AG$2&gt;0,"限度超過",IF(U248=Z248,"OK","ｱﾝﾏｯﾁ")))</f>
        <v>OK</v>
      </c>
      <c r="AF247" s="499"/>
      <c r="AG247" s="4"/>
      <c r="AI247" s="174"/>
      <c r="AJ247" s="174"/>
      <c r="AK247" s="174"/>
      <c r="AL247" s="174"/>
      <c r="AM247" s="174"/>
      <c r="AN247" s="389"/>
      <c r="AO247" s="364" t="s">
        <v>43</v>
      </c>
      <c r="AP247" s="390">
        <f>ROUND(AP69*AQ243,0)</f>
        <v>0</v>
      </c>
      <c r="AQ247" s="363" t="s">
        <v>42</v>
      </c>
      <c r="AR247" s="391">
        <f>ROUND(AR69*AQ243,0)</f>
        <v>0</v>
      </c>
      <c r="AS247" s="389"/>
      <c r="AT247" s="364" t="s">
        <v>43</v>
      </c>
      <c r="AU247" s="390">
        <f>IF(AV243=0,0,IF(AV243&gt;=7,1,IF(AV243&lt;=-7,-1,0)))</f>
        <v>0</v>
      </c>
      <c r="AV247" s="392" t="s">
        <v>42</v>
      </c>
      <c r="AW247" s="391">
        <f>IF(AV243=0,0,IF(AV243&gt;=1,1,IF(AV243&lt;=-1,-1,0)))</f>
        <v>0</v>
      </c>
      <c r="AX247" s="359"/>
      <c r="AY247" s="434" t="s">
        <v>43</v>
      </c>
      <c r="AZ247" s="362">
        <f t="shared" si="142"/>
        <v>0</v>
      </c>
      <c r="BA247" s="363" t="s">
        <v>42</v>
      </c>
      <c r="BB247" s="433">
        <f>IF($AG$2&gt;0,"限度超過",AR247+AW247)</f>
        <v>0</v>
      </c>
      <c r="BC247" s="359"/>
      <c r="BD247" s="451" t="s">
        <v>43</v>
      </c>
      <c r="BE247" s="81">
        <f t="shared" si="143"/>
        <v>0</v>
      </c>
      <c r="BF247" s="82" t="s">
        <v>42</v>
      </c>
      <c r="BG247" s="29">
        <f>BG237</f>
        <v>0</v>
      </c>
      <c r="BH247" s="12"/>
      <c r="BI247" s="30" t="s">
        <v>43</v>
      </c>
      <c r="BJ247" s="29">
        <f t="shared" si="144"/>
        <v>0</v>
      </c>
      <c r="BK247" s="30" t="s">
        <v>42</v>
      </c>
      <c r="BL247" s="29">
        <f>IF($A$265=$L$265,"限度超過",IF(BG247=0,0,BG247/$S$183))</f>
        <v>0</v>
      </c>
      <c r="BM247" s="12"/>
      <c r="BN247" s="30" t="s">
        <v>43</v>
      </c>
      <c r="BO247" s="29">
        <f t="shared" si="145"/>
        <v>0</v>
      </c>
      <c r="BP247" s="30" t="s">
        <v>42</v>
      </c>
      <c r="BQ247" s="460">
        <f>IF($A$265=$L$265,"限度超過",IF($S$183&lt;=5,0,BL247))</f>
        <v>0</v>
      </c>
      <c r="BR247" s="12"/>
      <c r="BS247" s="12"/>
      <c r="BT247" s="12"/>
      <c r="BU247" s="12"/>
      <c r="BV247" s="12"/>
      <c r="BW247" s="12"/>
      <c r="BX247" s="32" t="s">
        <v>26</v>
      </c>
      <c r="BY247" s="26">
        <f>H238</f>
        <v>0</v>
      </c>
      <c r="BZ247" s="99">
        <f t="shared" si="146"/>
        <v>0</v>
      </c>
      <c r="CA247" s="99">
        <f t="shared" si="146"/>
        <v>0</v>
      </c>
      <c r="CB247" s="99">
        <f t="shared" si="146"/>
        <v>0</v>
      </c>
      <c r="CC247" s="4"/>
      <c r="CD247" s="4"/>
      <c r="CE247" s="4"/>
      <c r="CF247" s="4"/>
      <c r="CG247" s="4"/>
      <c r="CH247" s="4"/>
      <c r="CI247" s="13"/>
    </row>
    <row r="248" spans="1:87" ht="18.75" customHeight="1">
      <c r="A248" s="1421" t="s">
        <v>10</v>
      </c>
      <c r="B248" s="12"/>
      <c r="C248" s="12"/>
      <c r="D248" s="1419" t="s">
        <v>7</v>
      </c>
      <c r="E248" s="1416">
        <f>IF(H248&gt;0,$CE$186,0)</f>
        <v>0</v>
      </c>
      <c r="F248" s="97"/>
      <c r="G248" s="855" t="s">
        <v>59</v>
      </c>
      <c r="H248" s="1413">
        <f>IF(B243=0,0,SUBTOTAL(3,B243))</f>
        <v>0</v>
      </c>
      <c r="I248" s="1277" t="s">
        <v>22</v>
      </c>
      <c r="J248" s="855" t="s">
        <v>59</v>
      </c>
      <c r="K248" s="51">
        <f>IF(H248&gt;0,K245,0)</f>
        <v>0</v>
      </c>
      <c r="L248" s="52" t="s">
        <v>5</v>
      </c>
      <c r="M248" s="1407" t="s">
        <v>122</v>
      </c>
      <c r="N248" s="1402">
        <f>IF(O248=0,0,"―")</f>
        <v>0</v>
      </c>
      <c r="O248" s="1404">
        <f>IF(H248&lt;=0,0,IF($D$183=0,0,IF($D$183=7,BZ258,IF($D$183=5,CA258,IF($D$183=2,CB258,"間違い!")))))</f>
        <v>0</v>
      </c>
      <c r="P248" s="1405"/>
      <c r="Q248" s="1377" t="s">
        <v>130</v>
      </c>
      <c r="R248" s="1403">
        <f>IF(H248&gt;0,IF(K245=0,0,ROUNDDOWN(((E248*H248)*K248/K249)-O248,0)),0)</f>
        <v>0</v>
      </c>
      <c r="S248" s="1408" t="s">
        <v>6</v>
      </c>
      <c r="T248" s="1388" t="s">
        <v>32</v>
      </c>
      <c r="U248" s="1387">
        <f>IF($L$265=$A$265,"限度超過",U246)</f>
        <v>0</v>
      </c>
      <c r="V248" s="1389" t="s">
        <v>6</v>
      </c>
      <c r="W248" s="30" t="s">
        <v>37</v>
      </c>
      <c r="X248" s="29">
        <f t="shared" si="141"/>
        <v>0</v>
      </c>
      <c r="Y248" s="1199" t="s">
        <v>44</v>
      </c>
      <c r="Z248" s="1394">
        <f>IF($AH$13&gt;0,0,BB248)</f>
        <v>0</v>
      </c>
      <c r="AC248" s="492"/>
      <c r="AD248" s="4"/>
      <c r="AE248" s="500" t="str">
        <f>IF($AG$2&gt;0,"限度超過",IF(X244+X245+X246+X247+X248+X249+Z244+Z245+Z246+Z247=Z248,"OK","エラー"))</f>
        <v>OK</v>
      </c>
      <c r="AF248" s="1361">
        <f>IF(H248&gt;0,IF(K245=0,0,ROUNDDOWN((E248*H248)-O248,0)),0)</f>
        <v>0</v>
      </c>
      <c r="AG248" s="4"/>
      <c r="AH248" s="4"/>
      <c r="AI248" s="174"/>
      <c r="AJ248" s="174"/>
      <c r="AK248" s="174"/>
      <c r="AL248" s="174"/>
      <c r="AM248" s="174"/>
      <c r="AN248" s="389"/>
      <c r="AO248" s="364" t="s">
        <v>37</v>
      </c>
      <c r="AP248" s="390">
        <f>ROUND(AP70*AQ243,0)</f>
        <v>0</v>
      </c>
      <c r="AQ248" s="365" t="s">
        <v>44</v>
      </c>
      <c r="AR248" s="366">
        <f>AP244+AP245+AP246+AP247+AP248+AP249+AR244+AR245+AR246+AR247</f>
        <v>0</v>
      </c>
      <c r="AS248" s="389"/>
      <c r="AT248" s="364" t="s">
        <v>37</v>
      </c>
      <c r="AU248" s="390">
        <f>IF(AV243=0,0,IF(AV243&gt;=6,1,IF(AV243&lt;=-6,-1,0)))</f>
        <v>0</v>
      </c>
      <c r="AV248" s="394" t="s">
        <v>44</v>
      </c>
      <c r="AW248" s="395">
        <f>AU244+AU245+AU246+AU247+AU248+AU249+AW244+AW245+AW246+AW247</f>
        <v>0</v>
      </c>
      <c r="AX248" s="359"/>
      <c r="AY248" s="434" t="s">
        <v>37</v>
      </c>
      <c r="AZ248" s="362">
        <f t="shared" si="142"/>
        <v>0</v>
      </c>
      <c r="BA248" s="365" t="s">
        <v>44</v>
      </c>
      <c r="BB248" s="435">
        <f>IF($AG$2&gt;0,"限度超過",AZ244+AZ245+AZ246+AZ247+AZ248+AZ249+BB244+BB245+BB246+BB247)</f>
        <v>0</v>
      </c>
      <c r="BC248" s="359"/>
      <c r="BD248" s="451" t="s">
        <v>37</v>
      </c>
      <c r="BE248" s="81">
        <f t="shared" si="143"/>
        <v>0</v>
      </c>
      <c r="BF248" s="443" t="s">
        <v>44</v>
      </c>
      <c r="BG248" s="29">
        <f>IF($A$265=$L$265,"限度超過",BE244+BE245+BE246+BE247+BE248+BE249+BG244+BG245+BG246+BG247)</f>
        <v>0</v>
      </c>
      <c r="BH248" s="12"/>
      <c r="BI248" s="30" t="s">
        <v>37</v>
      </c>
      <c r="BJ248" s="29">
        <f t="shared" si="144"/>
        <v>0</v>
      </c>
      <c r="BK248" s="98" t="s">
        <v>44</v>
      </c>
      <c r="BL248" s="29">
        <f>IF($A$265=$L$265,"限度超過",BJ244+BJ245+BJ246+BJ247+BJ248+BJ249+BL244+BL245+BL246+BL247)</f>
        <v>0</v>
      </c>
      <c r="BM248" s="12"/>
      <c r="BN248" s="30" t="s">
        <v>37</v>
      </c>
      <c r="BO248" s="29">
        <f t="shared" si="145"/>
        <v>0</v>
      </c>
      <c r="BP248" s="98" t="s">
        <v>44</v>
      </c>
      <c r="BQ248" s="460">
        <f>IF($A$265=$L$265,"限度超過",BO244+BO245+BO246+BO247+BO248+BO249+BQ244+BQ245+BQ246+BQ247)</f>
        <v>0</v>
      </c>
      <c r="BR248" s="12"/>
      <c r="BS248" s="12"/>
      <c r="BT248" s="12"/>
      <c r="BU248" s="12"/>
      <c r="BV248" s="12"/>
      <c r="BW248" s="12"/>
      <c r="BX248" s="67" t="s">
        <v>27</v>
      </c>
      <c r="BY248" s="45">
        <f>IF(BY247&gt;0,ROUNDDOWN(BY244*BY247*BY245/BY246,0),0)</f>
        <v>0</v>
      </c>
      <c r="BZ248" s="45">
        <f>IF(BZ247&gt;0,ROUNDDOWN(BZ244*BZ247*BZ245/BZ246,0),0)</f>
        <v>0</v>
      </c>
      <c r="CA248" s="45">
        <f>IF(CA247&gt;0,ROUNDDOWN(CA244*CA247*CA245/CA246,0),0)</f>
        <v>0</v>
      </c>
      <c r="CB248" s="45">
        <f>IF(CB247&gt;0,ROUNDDOWN(CB244*CB247*CB245/CB246,0),0)</f>
        <v>0</v>
      </c>
      <c r="CC248" s="4"/>
      <c r="CD248" s="4"/>
      <c r="CE248" s="4"/>
      <c r="CF248" s="4"/>
      <c r="CG248" s="4"/>
      <c r="CH248" s="4"/>
      <c r="CI248" s="13"/>
    </row>
    <row r="249" spans="1:87" ht="18.75" customHeight="1">
      <c r="A249" s="1421"/>
      <c r="B249" s="12"/>
      <c r="C249" s="12"/>
      <c r="D249" s="1419"/>
      <c r="E249" s="1416"/>
      <c r="F249" s="12"/>
      <c r="G249" s="855"/>
      <c r="H249" s="1413"/>
      <c r="I249" s="1277"/>
      <c r="J249" s="855"/>
      <c r="K249" s="180">
        <f>IF(H248&gt;0,K246,0)</f>
        <v>0</v>
      </c>
      <c r="L249" s="12" t="s">
        <v>5</v>
      </c>
      <c r="M249" s="1407"/>
      <c r="N249" s="1402"/>
      <c r="O249" s="1405"/>
      <c r="P249" s="1405"/>
      <c r="Q249" s="1377"/>
      <c r="R249" s="1403"/>
      <c r="S249" s="1408"/>
      <c r="T249" s="1388"/>
      <c r="U249" s="1387"/>
      <c r="V249" s="1389"/>
      <c r="W249" s="30" t="s">
        <v>38</v>
      </c>
      <c r="X249" s="29">
        <f t="shared" si="141"/>
        <v>0</v>
      </c>
      <c r="Y249" s="1368"/>
      <c r="Z249" s="1395"/>
      <c r="AC249" s="492"/>
      <c r="AD249" s="4"/>
      <c r="AE249" s="74"/>
      <c r="AF249" s="1360"/>
      <c r="AG249" s="4"/>
      <c r="AH249" s="4"/>
      <c r="AI249" s="174"/>
      <c r="AJ249" s="174"/>
      <c r="AK249" s="174"/>
      <c r="AL249" s="174"/>
      <c r="AM249" s="174"/>
      <c r="AN249" s="389"/>
      <c r="AO249" s="364" t="s">
        <v>38</v>
      </c>
      <c r="AP249" s="390">
        <f>ROUND(AP71*AQ243,0)</f>
        <v>0</v>
      </c>
      <c r="AQ249" s="363" t="s">
        <v>75</v>
      </c>
      <c r="AR249" s="396">
        <f>U248</f>
        <v>0</v>
      </c>
      <c r="AS249" s="389"/>
      <c r="AT249" s="364" t="s">
        <v>38</v>
      </c>
      <c r="AU249" s="390">
        <f>IF(AV243=0,0,IF(AV243&gt;=5,1,IF(AV243&lt;=-5,-1,0)))</f>
        <v>0</v>
      </c>
      <c r="AV249" s="392"/>
      <c r="AW249" s="397" t="str">
        <f>IF(AU244+AU245+AU246+AU247+AU248+AU249+AW244+AW245+AW246+AW247=AV243,"計算ＯＫ","エラー発生")</f>
        <v>計算ＯＫ</v>
      </c>
      <c r="AX249" s="359"/>
      <c r="AY249" s="434" t="s">
        <v>38</v>
      </c>
      <c r="AZ249" s="362">
        <f t="shared" si="142"/>
        <v>0</v>
      </c>
      <c r="BA249" s="363"/>
      <c r="BB249" s="436">
        <f>IF($AG$2&gt;0,"限度超過",U248)</f>
        <v>0</v>
      </c>
      <c r="BC249" s="359"/>
      <c r="BD249" s="451" t="s">
        <v>38</v>
      </c>
      <c r="BE249" s="81">
        <f t="shared" si="143"/>
        <v>0</v>
      </c>
      <c r="BF249" s="82"/>
      <c r="BG249" s="100"/>
      <c r="BH249" s="12"/>
      <c r="BI249" s="30" t="s">
        <v>38</v>
      </c>
      <c r="BJ249" s="29">
        <f t="shared" si="144"/>
        <v>0</v>
      </c>
      <c r="BK249" s="30"/>
      <c r="BL249" s="100"/>
      <c r="BM249" s="12"/>
      <c r="BN249" s="30" t="s">
        <v>38</v>
      </c>
      <c r="BO249" s="29">
        <f t="shared" si="145"/>
        <v>0</v>
      </c>
      <c r="BP249" s="30"/>
      <c r="BQ249" s="461"/>
      <c r="BR249" s="12"/>
      <c r="BS249" s="12"/>
      <c r="BT249" s="12"/>
      <c r="BU249" s="12"/>
      <c r="BV249" s="12"/>
      <c r="BW249" s="12"/>
      <c r="BX249" s="4"/>
      <c r="BY249" s="4"/>
      <c r="BZ249" s="4"/>
      <c r="CA249" s="4"/>
      <c r="CB249" s="4"/>
      <c r="CC249" s="4"/>
      <c r="CD249" s="4"/>
      <c r="CE249" s="4"/>
      <c r="CF249" s="4"/>
      <c r="CG249" s="4"/>
      <c r="CH249" s="4"/>
      <c r="CI249" s="13"/>
    </row>
    <row r="250" spans="1:87" ht="18.75" customHeight="1">
      <c r="A250" s="202"/>
      <c r="B250" s="75" t="s">
        <v>118</v>
      </c>
      <c r="C250" s="12"/>
      <c r="D250" s="160"/>
      <c r="E250" s="161"/>
      <c r="F250" s="12"/>
      <c r="G250" s="50"/>
      <c r="H250" s="162"/>
      <c r="I250" s="159"/>
      <c r="J250" s="50"/>
      <c r="K250" s="180"/>
      <c r="L250" s="12"/>
      <c r="M250" s="86"/>
      <c r="N250" s="86"/>
      <c r="O250" s="181"/>
      <c r="P250" s="181"/>
      <c r="Q250" s="156"/>
      <c r="R250" s="157"/>
      <c r="S250" s="49"/>
      <c r="T250" s="50"/>
      <c r="U250" s="182"/>
      <c r="V250" s="50"/>
      <c r="W250" s="4"/>
      <c r="X250" s="26"/>
      <c r="Y250" s="170"/>
      <c r="Z250" s="187"/>
      <c r="AC250" s="492"/>
      <c r="AD250" s="4"/>
      <c r="AE250" s="74"/>
      <c r="AF250" s="236"/>
      <c r="AG250" s="159"/>
      <c r="AH250" s="227"/>
      <c r="AI250" s="174"/>
      <c r="AJ250" s="174"/>
      <c r="AK250" s="174"/>
      <c r="AL250" s="174"/>
      <c r="AM250" s="174"/>
      <c r="AN250" s="389"/>
      <c r="AO250" s="367"/>
      <c r="AP250" s="398"/>
      <c r="AQ250" s="368"/>
      <c r="AR250" s="368"/>
      <c r="AS250" s="389"/>
      <c r="AT250" s="389"/>
      <c r="AU250" s="389"/>
      <c r="AV250" s="389"/>
      <c r="AW250" s="389"/>
      <c r="AX250" s="359"/>
      <c r="AY250" s="437"/>
      <c r="AZ250" s="470" t="str">
        <f>IF($AG$2&gt;0,"限度超過","－")</f>
        <v>－</v>
      </c>
      <c r="BA250" s="368"/>
      <c r="BB250" s="469" t="str">
        <f>IF(BB248=BB249,"OK","エラー")</f>
        <v>OK</v>
      </c>
      <c r="BC250" s="359"/>
      <c r="BD250" s="452"/>
      <c r="BF250" s="4" t="s">
        <v>260</v>
      </c>
      <c r="BH250" s="12"/>
      <c r="BM250" s="12"/>
      <c r="BQ250" s="462"/>
      <c r="BR250" s="12"/>
      <c r="BS250" s="12"/>
      <c r="BT250" s="12"/>
      <c r="BU250" s="12"/>
      <c r="BV250" s="12"/>
      <c r="BW250" s="12"/>
      <c r="BX250" s="4"/>
      <c r="BY250" s="4"/>
      <c r="BZ250" s="4"/>
      <c r="CA250" s="4"/>
      <c r="CB250" s="4"/>
      <c r="CC250" s="4"/>
      <c r="CD250" s="4"/>
      <c r="CE250" s="4"/>
      <c r="CF250" s="4"/>
      <c r="CG250" s="4"/>
      <c r="CH250" s="4"/>
      <c r="CI250" s="13"/>
    </row>
    <row r="251" spans="1:87" ht="18.75" customHeight="1">
      <c r="A251" s="58" t="s">
        <v>1</v>
      </c>
      <c r="B251" s="52"/>
      <c r="C251" s="189">
        <f>IF(H248&gt;0,$X$191,0)</f>
        <v>0</v>
      </c>
      <c r="D251" s="203" t="s">
        <v>6</v>
      </c>
      <c r="E251" s="60" t="s">
        <v>131</v>
      </c>
      <c r="F251" s="1204">
        <f>K245</f>
        <v>0</v>
      </c>
      <c r="G251" s="1204"/>
      <c r="H251" s="216" t="s">
        <v>5</v>
      </c>
      <c r="I251" s="1451" t="s">
        <v>14</v>
      </c>
      <c r="J251" s="1451"/>
      <c r="K251" s="1204">
        <f>C251*F251</f>
        <v>0</v>
      </c>
      <c r="L251" s="1204"/>
      <c r="M251" s="204" t="s">
        <v>6</v>
      </c>
      <c r="N251" s="204"/>
      <c r="O251" s="205"/>
      <c r="P251" s="205"/>
      <c r="Q251" s="63"/>
      <c r="R251" s="206"/>
      <c r="S251" s="59"/>
      <c r="T251" s="27"/>
      <c r="U251" s="207"/>
      <c r="V251" s="27"/>
      <c r="W251" s="188"/>
      <c r="X251" s="189"/>
      <c r="Y251" s="208"/>
      <c r="Z251" s="163"/>
      <c r="AC251" s="492"/>
      <c r="AD251" s="4"/>
      <c r="AE251" s="74"/>
      <c r="AF251" s="237"/>
      <c r="AG251" s="4"/>
      <c r="AH251" s="4"/>
      <c r="AI251" s="174"/>
      <c r="AJ251" s="174"/>
      <c r="AK251" s="174"/>
      <c r="AL251" s="174"/>
      <c r="AM251" s="174"/>
      <c r="AN251" s="389"/>
      <c r="AO251" s="386" t="s">
        <v>241</v>
      </c>
      <c r="AP251" s="1266" t="s">
        <v>223</v>
      </c>
      <c r="AQ251" s="1266"/>
      <c r="AR251" s="1266"/>
      <c r="AS251" s="389"/>
      <c r="AT251" s="1289" t="s">
        <v>241</v>
      </c>
      <c r="AU251" s="1289"/>
      <c r="AV251" s="387"/>
      <c r="AW251" s="387"/>
      <c r="AX251" s="359"/>
      <c r="AY251" s="438" t="s">
        <v>241</v>
      </c>
      <c r="AZ251" s="388"/>
      <c r="BA251" s="368"/>
      <c r="BB251" s="439"/>
      <c r="BC251" s="359"/>
      <c r="BD251" s="463" t="s">
        <v>241</v>
      </c>
      <c r="BE251" s="403"/>
      <c r="BF251" s="4" t="s">
        <v>261</v>
      </c>
      <c r="BH251" s="12"/>
      <c r="BI251" s="403" t="s">
        <v>241</v>
      </c>
      <c r="BJ251" s="403"/>
      <c r="BM251" s="12"/>
      <c r="BN251" s="403" t="s">
        <v>241</v>
      </c>
      <c r="BO251" s="403"/>
      <c r="BQ251" s="462"/>
      <c r="BR251" s="12"/>
      <c r="BS251" s="12"/>
      <c r="BT251" s="12"/>
      <c r="BU251" s="12"/>
      <c r="BV251" s="12"/>
      <c r="BW251" s="12"/>
      <c r="BX251" s="4"/>
      <c r="BY251" s="4"/>
      <c r="BZ251" s="4"/>
      <c r="CA251" s="4"/>
      <c r="CB251" s="4"/>
      <c r="CC251" s="4"/>
      <c r="CD251" s="4"/>
      <c r="CE251" s="4"/>
      <c r="CF251" s="4"/>
      <c r="CG251" s="4"/>
      <c r="CH251" s="4"/>
      <c r="CI251" s="13"/>
    </row>
    <row r="252" spans="1:87" ht="18.75" customHeight="1">
      <c r="D252" s="101"/>
      <c r="E252" s="70"/>
      <c r="G252" s="9"/>
      <c r="H252" s="102"/>
      <c r="I252" s="5"/>
      <c r="J252" s="9"/>
      <c r="K252" s="18"/>
      <c r="M252" s="103"/>
      <c r="P252" s="103"/>
      <c r="Q252" s="70"/>
      <c r="R252" s="104"/>
      <c r="S252" s="68"/>
      <c r="T252" s="68"/>
      <c r="U252" s="68"/>
      <c r="V252" s="18"/>
      <c r="AC252" s="492"/>
      <c r="AD252" s="4"/>
      <c r="AE252" s="74"/>
      <c r="AF252" s="233"/>
      <c r="AG252" s="16"/>
      <c r="AH252" s="16"/>
      <c r="AI252" s="174"/>
      <c r="AJ252" s="174"/>
      <c r="AK252" s="174"/>
      <c r="AL252" s="174"/>
      <c r="AM252" s="174"/>
      <c r="AN252" s="389"/>
      <c r="AO252" s="371" t="s">
        <v>219</v>
      </c>
      <c r="AP252" s="360"/>
      <c r="AQ252" s="399"/>
      <c r="AR252" s="399"/>
      <c r="AS252" s="389"/>
      <c r="AT252" s="1301" t="s">
        <v>220</v>
      </c>
      <c r="AU252" s="1301"/>
      <c r="AV252" s="1301"/>
      <c r="AW252" s="1301"/>
      <c r="AX252" s="359"/>
      <c r="AY252" s="431" t="s">
        <v>226</v>
      </c>
      <c r="AZ252" s="1281" t="s">
        <v>225</v>
      </c>
      <c r="BA252" s="1281"/>
      <c r="BB252" s="1282"/>
      <c r="BC252" s="359"/>
      <c r="BD252" s="1267" t="s">
        <v>264</v>
      </c>
      <c r="BE252" s="1268"/>
      <c r="BF252" s="1268"/>
      <c r="BG252" s="1268"/>
      <c r="BH252" s="12"/>
      <c r="BI252" s="440" t="s">
        <v>265</v>
      </c>
      <c r="BJ252" s="1269" t="s">
        <v>263</v>
      </c>
      <c r="BK252" s="1269"/>
      <c r="BL252" s="1269"/>
      <c r="BM252" s="12"/>
      <c r="BN252" s="12"/>
      <c r="BO252" s="143" t="s">
        <v>266</v>
      </c>
      <c r="BP252" s="12" t="s">
        <v>88</v>
      </c>
      <c r="BQ252" s="449"/>
      <c r="BR252" s="12"/>
      <c r="BS252" s="12"/>
      <c r="BT252" s="12"/>
      <c r="BU252" s="12"/>
      <c r="BV252" s="12"/>
      <c r="BW252" s="12"/>
      <c r="BX252" s="4"/>
      <c r="BY252" s="4"/>
      <c r="BZ252" s="4"/>
      <c r="CA252" s="4"/>
      <c r="CB252" s="4"/>
      <c r="CC252" s="4"/>
      <c r="CD252" s="4"/>
      <c r="CE252" s="4"/>
      <c r="CF252" s="4"/>
      <c r="CG252" s="4"/>
      <c r="CH252" s="4"/>
      <c r="CI252" s="13"/>
    </row>
    <row r="253" spans="1:87" ht="18.75" customHeight="1" thickBot="1">
      <c r="A253" s="196" t="s">
        <v>49</v>
      </c>
      <c r="B253" s="1382">
        <f>IF(I253=1,B75,0)</f>
        <v>0</v>
      </c>
      <c r="C253" s="1382"/>
      <c r="D253" s="1382"/>
      <c r="E253" s="198" t="s">
        <v>11</v>
      </c>
      <c r="F253" s="1412" t="s">
        <v>57</v>
      </c>
      <c r="G253" s="1412"/>
      <c r="H253" s="1412"/>
      <c r="I253" s="1449">
        <f>IF(I75=1,1,0)</f>
        <v>0</v>
      </c>
      <c r="J253" s="1450"/>
      <c r="K253" s="1373">
        <f>IF($AG$2&gt;0,0,IF((X255+X256+X257+X258+X259+Z254+Z255+Z256+Z257)&lt;0,"＊＊エラー介護該当者は①から入力＊＊",0))</f>
        <v>0</v>
      </c>
      <c r="L253" s="1374"/>
      <c r="M253" s="1374"/>
      <c r="N253" s="1374"/>
      <c r="O253" s="1374"/>
      <c r="P253" s="1374"/>
      <c r="Q253" s="1374"/>
      <c r="R253" s="1374"/>
      <c r="S253" s="1375"/>
      <c r="T253" s="197" t="s">
        <v>47</v>
      </c>
      <c r="U253" s="1383">
        <f>IF(U258&gt;0,"介護分",0)</f>
        <v>0</v>
      </c>
      <c r="V253" s="1384"/>
      <c r="W253" s="1385" t="s">
        <v>46</v>
      </c>
      <c r="X253" s="1164"/>
      <c r="Y253" s="1164"/>
      <c r="Z253" s="1165"/>
      <c r="AC253" s="492"/>
      <c r="AD253" s="4"/>
      <c r="AE253" s="74"/>
      <c r="AF253" s="238" t="s">
        <v>117</v>
      </c>
      <c r="AG253" s="26"/>
      <c r="AH253" s="276">
        <f>IF(K255=0,0,IF(K255&lt;12,1,0))</f>
        <v>0</v>
      </c>
      <c r="AI253" s="174"/>
      <c r="AJ253" s="174"/>
      <c r="AK253" s="174"/>
      <c r="AL253" s="174"/>
      <c r="AM253" s="174"/>
      <c r="AN253" s="400" t="s">
        <v>150</v>
      </c>
      <c r="AO253" s="1320" t="s">
        <v>46</v>
      </c>
      <c r="AP253" s="1287"/>
      <c r="AQ253" s="1396">
        <f>IF(AR80=0,0,ROUNDDOWN(AR259/AR80,8))</f>
        <v>0</v>
      </c>
      <c r="AR253" s="1397"/>
      <c r="AS253" s="389"/>
      <c r="AT253" s="1320" t="s">
        <v>215</v>
      </c>
      <c r="AU253" s="1287"/>
      <c r="AV253" s="1284">
        <f>IF($AG$184&gt;0,0,AR259-AR258)</f>
        <v>0</v>
      </c>
      <c r="AW253" s="1285"/>
      <c r="AX253" s="359"/>
      <c r="AY253" s="1286" t="s">
        <v>46</v>
      </c>
      <c r="AZ253" s="1287"/>
      <c r="BA253" s="1456">
        <f>IF(R255+R258=0,0,IF(K256&gt;K255,"期割がアンマッチ使用禁止↓",0))</f>
        <v>0</v>
      </c>
      <c r="BB253" s="1457"/>
      <c r="BC253" s="359"/>
      <c r="BD253" s="1272" t="s">
        <v>46</v>
      </c>
      <c r="BE253" s="1273"/>
      <c r="BF253" s="1270"/>
      <c r="BG253" s="1271"/>
      <c r="BH253" s="12"/>
      <c r="BI253" s="1139" t="s">
        <v>46</v>
      </c>
      <c r="BJ253" s="1273"/>
      <c r="BK253" s="1270"/>
      <c r="BL253" s="1271"/>
      <c r="BM253" s="12"/>
      <c r="BN253" s="1139" t="s">
        <v>46</v>
      </c>
      <c r="BO253" s="1273"/>
      <c r="BP253" s="1270"/>
      <c r="BQ253" s="1278"/>
      <c r="BR253" s="12"/>
      <c r="BS253" s="12"/>
      <c r="BT253" s="122"/>
      <c r="BU253" s="12"/>
      <c r="BV253" s="12"/>
      <c r="BW253" s="12"/>
      <c r="BX253" s="32"/>
      <c r="BY253" s="33" t="str">
        <f>BY243</f>
        <v>料率</v>
      </c>
      <c r="BZ253" s="33">
        <f>BZ243</f>
        <v>7</v>
      </c>
      <c r="CA253" s="33">
        <f>CA243</f>
        <v>5</v>
      </c>
      <c r="CB253" s="33">
        <f>CB243</f>
        <v>2</v>
      </c>
      <c r="CC253" s="4"/>
      <c r="CD253" s="4"/>
      <c r="CE253" s="4"/>
      <c r="CF253" s="4"/>
      <c r="CG253" s="4"/>
      <c r="CH253" s="4"/>
      <c r="CI253" s="13"/>
    </row>
    <row r="254" spans="1:87" ht="18.75" customHeight="1">
      <c r="A254" s="165"/>
      <c r="B254" s="12"/>
      <c r="C254" s="75" t="s">
        <v>33</v>
      </c>
      <c r="D254" s="12"/>
      <c r="E254" s="12"/>
      <c r="F254" s="12"/>
      <c r="G254" s="12"/>
      <c r="H254" s="50"/>
      <c r="I254" s="93"/>
      <c r="J254" s="12"/>
      <c r="K254" s="76" t="s">
        <v>9</v>
      </c>
      <c r="L254" s="12"/>
      <c r="M254" s="1409">
        <f>IF(R255+R258=0, 0, IF(K256=K255,0,IF(K256&gt;K255,"年度途中で資格変動有？保険料内訳のみ使用可能",0)))</f>
        <v>0</v>
      </c>
      <c r="N254" s="1409"/>
      <c r="O254" s="1409"/>
      <c r="P254" s="1409"/>
      <c r="Q254" s="1409"/>
      <c r="R254" s="1409"/>
      <c r="S254" s="1410"/>
      <c r="T254" s="72" t="s">
        <v>30</v>
      </c>
      <c r="U254" s="105">
        <f>R255+R258</f>
        <v>0</v>
      </c>
      <c r="V254" s="88" t="s">
        <v>6</v>
      </c>
      <c r="W254" s="80" t="s">
        <v>34</v>
      </c>
      <c r="X254" s="29">
        <f t="shared" ref="X254:X259" si="147">IF($AH$13&gt;0,0,AZ254)</f>
        <v>0</v>
      </c>
      <c r="Y254" s="80" t="s">
        <v>39</v>
      </c>
      <c r="Z254" s="31">
        <f>IF($AH$13&gt;0,0,BB254)</f>
        <v>0</v>
      </c>
      <c r="AC254" s="492"/>
      <c r="AD254" s="4"/>
      <c r="AE254" s="74"/>
      <c r="AF254" s="219">
        <f>AF255+AF258+AF261</f>
        <v>0</v>
      </c>
      <c r="AG254" s="26"/>
      <c r="AH254" s="26"/>
      <c r="AI254" s="174"/>
      <c r="AJ254" s="174"/>
      <c r="AK254" s="174"/>
      <c r="AL254" s="174"/>
      <c r="AM254" s="174"/>
      <c r="AN254" s="389"/>
      <c r="AO254" s="361" t="s">
        <v>34</v>
      </c>
      <c r="AP254" s="390">
        <f>ROUND(AP76*AQ253,0)</f>
        <v>0</v>
      </c>
      <c r="AQ254" s="363" t="s">
        <v>39</v>
      </c>
      <c r="AR254" s="391">
        <f>ROUND(AR76*AQ253,0)</f>
        <v>0</v>
      </c>
      <c r="AS254" s="389"/>
      <c r="AT254" s="364" t="s">
        <v>34</v>
      </c>
      <c r="AU254" s="390">
        <f>IF(AV253=0,0,IF(AV253&gt;=10,1,IF(AV253&lt;=-10,-1,0)))</f>
        <v>0</v>
      </c>
      <c r="AV254" s="392" t="s">
        <v>39</v>
      </c>
      <c r="AW254" s="391">
        <f>IF(AV253=0,0,IF(AV253&gt;=4,1,IF(AV253&lt;=-4,-1,0)))</f>
        <v>0</v>
      </c>
      <c r="AX254" s="359"/>
      <c r="AY254" s="432" t="s">
        <v>34</v>
      </c>
      <c r="AZ254" s="362">
        <f t="shared" ref="AZ254:AZ259" si="148">IF($AG$2&gt;0,"限度超過",AP254+AU254)</f>
        <v>0</v>
      </c>
      <c r="BA254" s="363" t="s">
        <v>39</v>
      </c>
      <c r="BB254" s="433">
        <f>IF($AG$2&gt;0,"限度超過",AR254+AW254)</f>
        <v>0</v>
      </c>
      <c r="BC254" s="359"/>
      <c r="BD254" s="451" t="s">
        <v>34</v>
      </c>
      <c r="BE254" s="81">
        <f t="shared" ref="BE254:BE259" si="149">BE244</f>
        <v>0</v>
      </c>
      <c r="BF254" s="82" t="s">
        <v>39</v>
      </c>
      <c r="BG254" s="29">
        <f>BG244</f>
        <v>0</v>
      </c>
      <c r="BH254" s="12"/>
      <c r="BI254" s="80" t="s">
        <v>34</v>
      </c>
      <c r="BJ254" s="29">
        <f t="shared" ref="BJ254:BJ259" si="150">IF($A$265=$L$265,"限度超過",IF(BE254=0,0,BE254/$S$183))</f>
        <v>0</v>
      </c>
      <c r="BK254" s="80" t="s">
        <v>39</v>
      </c>
      <c r="BL254" s="29">
        <f>IF($A$265=$L$265,"限度超過",IF(BG254=0,0,BG254/$S$183))</f>
        <v>0</v>
      </c>
      <c r="BM254" s="12"/>
      <c r="BN254" s="30" t="s">
        <v>34</v>
      </c>
      <c r="BO254" s="29">
        <f t="shared" ref="BO254:BO259" si="151">IF($A$265=$L$265,"限度超過",IF($S$183&lt;=6,0,BJ254))</f>
        <v>0</v>
      </c>
      <c r="BP254" s="80" t="s">
        <v>39</v>
      </c>
      <c r="BQ254" s="460">
        <f>IF($A$265=$L$265,"限度超過",IF($S$183&lt;=6,0,BL254))</f>
        <v>0</v>
      </c>
      <c r="BR254" s="12"/>
      <c r="BS254" s="12"/>
      <c r="BT254" s="12"/>
      <c r="BU254" s="12"/>
      <c r="BV254" s="12"/>
      <c r="BW254" s="12"/>
      <c r="BX254" s="32" t="s">
        <v>17</v>
      </c>
      <c r="BY254" s="44">
        <v>0</v>
      </c>
      <c r="BZ254" s="45">
        <f>$CF$186</f>
        <v>5440</v>
      </c>
      <c r="CA254" s="45">
        <f>$CG$186</f>
        <v>3880</v>
      </c>
      <c r="CB254" s="45">
        <f>$CH$186</f>
        <v>1560</v>
      </c>
      <c r="CC254" s="4"/>
      <c r="CD254" s="4"/>
      <c r="CE254" s="4"/>
      <c r="CF254" s="4"/>
      <c r="CG254" s="4"/>
      <c r="CH254" s="4"/>
      <c r="CI254" s="13"/>
    </row>
    <row r="255" spans="1:87" ht="18.75" customHeight="1">
      <c r="A255" s="1421" t="s">
        <v>0</v>
      </c>
      <c r="B255" s="1448" t="s">
        <v>129</v>
      </c>
      <c r="C255" s="1376">
        <f>IF(K255&gt;0,C77,0)</f>
        <v>0</v>
      </c>
      <c r="D255" s="855" t="s">
        <v>58</v>
      </c>
      <c r="E255" s="1416">
        <f>IF(H258&gt;0,$CE$189, 0)</f>
        <v>0</v>
      </c>
      <c r="F255" s="1380" t="s">
        <v>22</v>
      </c>
      <c r="G255" s="855" t="s">
        <v>59</v>
      </c>
      <c r="H255" s="85">
        <f>IF(H258&gt;0,$CE$185,0)</f>
        <v>0</v>
      </c>
      <c r="I255" s="1277" t="s">
        <v>22</v>
      </c>
      <c r="J255" s="855" t="s">
        <v>59</v>
      </c>
      <c r="K255" s="51">
        <f>入力画面!I45</f>
        <v>0</v>
      </c>
      <c r="L255" s="52" t="s">
        <v>5</v>
      </c>
      <c r="M255" s="1380"/>
      <c r="N255" s="1407"/>
      <c r="O255" s="86"/>
      <c r="P255" s="1377" t="s">
        <v>130</v>
      </c>
      <c r="Q255" s="1377"/>
      <c r="R255" s="1403">
        <f>ROUNDDOWN(IF(((C255-E255)*H255/H256)*K255/K256&lt;0,0,((C255-E255)*H255/H256)*K255/K256),0)</f>
        <v>0</v>
      </c>
      <c r="S255" s="1408" t="s">
        <v>6</v>
      </c>
      <c r="T255" s="72" t="s">
        <v>1</v>
      </c>
      <c r="U255" s="105">
        <f>IF(H258=0,0,K261)</f>
        <v>0</v>
      </c>
      <c r="V255" s="88" t="s">
        <v>6</v>
      </c>
      <c r="W255" s="30" t="s">
        <v>35</v>
      </c>
      <c r="X255" s="29">
        <f t="shared" si="147"/>
        <v>0</v>
      </c>
      <c r="Y255" s="30" t="s">
        <v>40</v>
      </c>
      <c r="Z255" s="31">
        <f>IF($AH$13&gt;0,0,BB255)</f>
        <v>0</v>
      </c>
      <c r="AC255" s="492"/>
      <c r="AD255" s="4"/>
      <c r="AE255" s="74"/>
      <c r="AF255" s="1360">
        <f>ROUNDDOWN(IF(((C255-E255)*H255/H256)&lt;0,0,((C255-E255)*H255/H256)),0)</f>
        <v>0</v>
      </c>
      <c r="AG255" s="26"/>
      <c r="AH255" s="26"/>
      <c r="AI255" s="174"/>
      <c r="AJ255" s="174"/>
      <c r="AK255" s="174"/>
      <c r="AL255" s="174"/>
      <c r="AM255" s="174"/>
      <c r="AN255" s="389"/>
      <c r="AO255" s="364" t="s">
        <v>35</v>
      </c>
      <c r="AP255" s="390">
        <f>ROUND(AP77*AQ253,0)</f>
        <v>0</v>
      </c>
      <c r="AQ255" s="363" t="s">
        <v>40</v>
      </c>
      <c r="AR255" s="391">
        <f>ROUND(AR77*AQ253,0)</f>
        <v>0</v>
      </c>
      <c r="AS255" s="389"/>
      <c r="AT255" s="364" t="s">
        <v>35</v>
      </c>
      <c r="AU255" s="390">
        <f>IF(AV253=0,0,IF(AV253&gt;=9,1,IF(AV253&lt;=-9,-1,0)))</f>
        <v>0</v>
      </c>
      <c r="AV255" s="392" t="s">
        <v>40</v>
      </c>
      <c r="AW255" s="391">
        <f>IF(AV253=0,0,IF(AV253&gt;=3,1,IF(AV253&lt;=-3,-1,0)))</f>
        <v>0</v>
      </c>
      <c r="AX255" s="359"/>
      <c r="AY255" s="434" t="s">
        <v>35</v>
      </c>
      <c r="AZ255" s="362">
        <f t="shared" si="148"/>
        <v>0</v>
      </c>
      <c r="BA255" s="363" t="s">
        <v>40</v>
      </c>
      <c r="BB255" s="433">
        <f>IF($AG$2&gt;0,"限度超過",AR255+AW255)</f>
        <v>0</v>
      </c>
      <c r="BC255" s="359"/>
      <c r="BD255" s="451" t="s">
        <v>35</v>
      </c>
      <c r="BE255" s="81">
        <f t="shared" si="149"/>
        <v>0</v>
      </c>
      <c r="BF255" s="82" t="s">
        <v>40</v>
      </c>
      <c r="BG255" s="29">
        <f>BG245</f>
        <v>0</v>
      </c>
      <c r="BH255" s="12"/>
      <c r="BI255" s="30" t="s">
        <v>35</v>
      </c>
      <c r="BJ255" s="29">
        <f t="shared" si="150"/>
        <v>0</v>
      </c>
      <c r="BK255" s="30" t="s">
        <v>40</v>
      </c>
      <c r="BL255" s="29">
        <f>IF($A$265=$L$265,"限度超過",IF(BG255=0,0,BG255/$S$183))</f>
        <v>0</v>
      </c>
      <c r="BM255" s="12"/>
      <c r="BN255" s="30" t="s">
        <v>35</v>
      </c>
      <c r="BO255" s="29">
        <f t="shared" si="151"/>
        <v>0</v>
      </c>
      <c r="BP255" s="30" t="s">
        <v>40</v>
      </c>
      <c r="BQ255" s="460">
        <f>IF($A$265=$L$265,"限度超過",IF($S$183&lt;=6,0,BL255))</f>
        <v>0</v>
      </c>
      <c r="BR255" s="12"/>
      <c r="BS255" s="12"/>
      <c r="BT255" s="12"/>
      <c r="BU255" s="12"/>
      <c r="BV255" s="12"/>
      <c r="BW255" s="12"/>
      <c r="BX255" s="32" t="s">
        <v>8</v>
      </c>
      <c r="BY255" s="45">
        <f>K248</f>
        <v>0</v>
      </c>
      <c r="BZ255" s="45">
        <f t="shared" ref="BZ255:CB257" si="152">BY255</f>
        <v>0</v>
      </c>
      <c r="CA255" s="45">
        <f t="shared" si="152"/>
        <v>0</v>
      </c>
      <c r="CB255" s="45">
        <f t="shared" si="152"/>
        <v>0</v>
      </c>
      <c r="CC255" s="4"/>
      <c r="CD255" s="4"/>
      <c r="CE255" s="4"/>
      <c r="CF255" s="4"/>
      <c r="CG255" s="4"/>
      <c r="CH255" s="4"/>
      <c r="CI255" s="13"/>
    </row>
    <row r="256" spans="1:87" ht="18.75" customHeight="1">
      <c r="A256" s="1421"/>
      <c r="B256" s="1448"/>
      <c r="C256" s="1376"/>
      <c r="D256" s="855"/>
      <c r="E256" s="1416"/>
      <c r="F256" s="1380"/>
      <c r="G256" s="855"/>
      <c r="H256" s="39">
        <v>100</v>
      </c>
      <c r="I256" s="1277"/>
      <c r="J256" s="855"/>
      <c r="K256" s="55">
        <v>12</v>
      </c>
      <c r="L256" s="12" t="s">
        <v>5</v>
      </c>
      <c r="M256" s="1380"/>
      <c r="N256" s="1407"/>
      <c r="O256" s="86"/>
      <c r="P256" s="1377"/>
      <c r="Q256" s="1377"/>
      <c r="R256" s="1403"/>
      <c r="S256" s="1408"/>
      <c r="T256" s="72" t="s">
        <v>29</v>
      </c>
      <c r="U256" s="105">
        <f>U254+U255</f>
        <v>0</v>
      </c>
      <c r="V256" s="88" t="s">
        <v>6</v>
      </c>
      <c r="W256" s="30" t="s">
        <v>36</v>
      </c>
      <c r="X256" s="29">
        <f t="shared" si="147"/>
        <v>0</v>
      </c>
      <c r="Y256" s="30" t="s">
        <v>41</v>
      </c>
      <c r="Z256" s="31">
        <f>IF($AH$13&gt;0,0,BB256)</f>
        <v>0</v>
      </c>
      <c r="AC256" s="492"/>
      <c r="AD256" s="4"/>
      <c r="AE256" s="489"/>
      <c r="AF256" s="1360"/>
      <c r="AG256" s="26"/>
      <c r="AI256" s="174"/>
      <c r="AJ256" s="174"/>
      <c r="AK256" s="174"/>
      <c r="AL256" s="174"/>
      <c r="AM256" s="174"/>
      <c r="AN256" s="389"/>
      <c r="AO256" s="364" t="s">
        <v>36</v>
      </c>
      <c r="AP256" s="390">
        <f>ROUND(AP78*AQ253,0)</f>
        <v>0</v>
      </c>
      <c r="AQ256" s="363" t="s">
        <v>41</v>
      </c>
      <c r="AR256" s="391">
        <f>ROUND(AR78*AQ253,0)</f>
        <v>0</v>
      </c>
      <c r="AS256" s="389"/>
      <c r="AT256" s="364" t="s">
        <v>36</v>
      </c>
      <c r="AU256" s="390">
        <f>IF(AV253=0,0,IF(AV253&gt;=8,1,IF(AV253&lt;=-8,-1,0)))</f>
        <v>0</v>
      </c>
      <c r="AV256" s="392" t="s">
        <v>41</v>
      </c>
      <c r="AW256" s="391">
        <f>IF(AV253=0,0,IF(AV253&gt;=2,1,IF(AV253&lt;=-2,-1,0)))</f>
        <v>0</v>
      </c>
      <c r="AX256" s="359"/>
      <c r="AY256" s="434" t="s">
        <v>36</v>
      </c>
      <c r="AZ256" s="362">
        <f t="shared" si="148"/>
        <v>0</v>
      </c>
      <c r="BA256" s="363" t="s">
        <v>41</v>
      </c>
      <c r="BB256" s="433">
        <f>IF($AG$2&gt;0,"限度超過",AR256+AW256)</f>
        <v>0</v>
      </c>
      <c r="BC256" s="359"/>
      <c r="BD256" s="451" t="s">
        <v>36</v>
      </c>
      <c r="BE256" s="81">
        <f t="shared" si="149"/>
        <v>0</v>
      </c>
      <c r="BF256" s="82" t="s">
        <v>41</v>
      </c>
      <c r="BG256" s="29">
        <f>BG246</f>
        <v>0</v>
      </c>
      <c r="BH256" s="12"/>
      <c r="BI256" s="30" t="s">
        <v>36</v>
      </c>
      <c r="BJ256" s="29">
        <f t="shared" si="150"/>
        <v>0</v>
      </c>
      <c r="BK256" s="30" t="s">
        <v>41</v>
      </c>
      <c r="BL256" s="29">
        <f>IF($A$265=$L$265,"限度超過",IF(BG256=0,0,BG256/$S$183))</f>
        <v>0</v>
      </c>
      <c r="BM256" s="12"/>
      <c r="BN256" s="30" t="s">
        <v>36</v>
      </c>
      <c r="BO256" s="29">
        <f t="shared" si="151"/>
        <v>0</v>
      </c>
      <c r="BP256" s="30" t="s">
        <v>41</v>
      </c>
      <c r="BQ256" s="460">
        <f>IF($A$265=$L$265,"限度超過",IF($S$183&lt;=6,0,BL256))</f>
        <v>0</v>
      </c>
      <c r="BR256" s="12"/>
      <c r="BS256" s="12"/>
      <c r="BT256" s="12"/>
      <c r="BU256" s="12"/>
      <c r="BV256" s="12"/>
      <c r="BW256" s="12"/>
      <c r="BX256" s="32" t="s">
        <v>25</v>
      </c>
      <c r="BY256" s="45">
        <f>K249</f>
        <v>0</v>
      </c>
      <c r="BZ256" s="45">
        <f t="shared" si="152"/>
        <v>0</v>
      </c>
      <c r="CA256" s="45">
        <f t="shared" si="152"/>
        <v>0</v>
      </c>
      <c r="CB256" s="45">
        <f t="shared" si="152"/>
        <v>0</v>
      </c>
      <c r="CC256" s="4"/>
      <c r="CD256" s="4"/>
      <c r="CE256" s="4"/>
      <c r="CF256" s="4"/>
      <c r="CG256" s="4"/>
      <c r="CH256" s="4"/>
      <c r="CI256" s="13"/>
    </row>
    <row r="257" spans="1:87" ht="18.75" customHeight="1">
      <c r="A257" s="165"/>
      <c r="B257" s="12"/>
      <c r="C257" s="50"/>
      <c r="D257" s="12"/>
      <c r="E257" s="12"/>
      <c r="F257" s="12"/>
      <c r="G257" s="12"/>
      <c r="H257" s="91"/>
      <c r="I257" s="75"/>
      <c r="J257" s="75"/>
      <c r="K257" s="92"/>
      <c r="L257" s="75"/>
      <c r="M257" s="93"/>
      <c r="N257" s="94"/>
      <c r="O257" s="42">
        <f>IF(H258=0,0,$D$183)</f>
        <v>0</v>
      </c>
      <c r="P257" s="466">
        <f>IF(O258=0,0,"軽減額")</f>
        <v>0</v>
      </c>
      <c r="Q257" s="12"/>
      <c r="R257" s="95"/>
      <c r="S257" s="49"/>
      <c r="T257" s="96" t="s">
        <v>31</v>
      </c>
      <c r="U257" s="105">
        <f>ROUNDDOWN(U256,-2)</f>
        <v>0</v>
      </c>
      <c r="V257" s="88" t="s">
        <v>6</v>
      </c>
      <c r="W257" s="30" t="s">
        <v>43</v>
      </c>
      <c r="X257" s="29">
        <f t="shared" si="147"/>
        <v>0</v>
      </c>
      <c r="Y257" s="30" t="s">
        <v>42</v>
      </c>
      <c r="Z257" s="31">
        <f>IF($AH$13&gt;0,0,BB257)</f>
        <v>0</v>
      </c>
      <c r="AC257" s="492"/>
      <c r="AD257" s="4"/>
      <c r="AE257" s="500" t="str">
        <f>IF($AH$13&gt;0,"－",IF($AG$2&gt;0,"限度超過",IF(U258=Z258,"OK","ｱﾝﾏｯﾁ")))</f>
        <v>OK</v>
      </c>
      <c r="AF257" s="499"/>
      <c r="AG257" s="26"/>
      <c r="AI257" s="174"/>
      <c r="AJ257" s="174"/>
      <c r="AK257" s="174"/>
      <c r="AL257" s="174"/>
      <c r="AM257" s="174"/>
      <c r="AN257" s="389"/>
      <c r="AO257" s="364" t="s">
        <v>43</v>
      </c>
      <c r="AP257" s="390">
        <f>ROUND(AP79*AQ253,0)</f>
        <v>0</v>
      </c>
      <c r="AQ257" s="363" t="s">
        <v>42</v>
      </c>
      <c r="AR257" s="391">
        <f>ROUND(AR79*AQ253,0)</f>
        <v>0</v>
      </c>
      <c r="AS257" s="389"/>
      <c r="AT257" s="364" t="s">
        <v>43</v>
      </c>
      <c r="AU257" s="390">
        <f>IF(AV253=0,0,IF(AV253&gt;=7,1,IF(AV253&lt;=-7,-1,0)))</f>
        <v>0</v>
      </c>
      <c r="AV257" s="392" t="s">
        <v>42</v>
      </c>
      <c r="AW257" s="391">
        <f>IF(AV253=0,0,IF(AV253&gt;=1,1,IF(AV253&lt;=-1,-1,0)))</f>
        <v>0</v>
      </c>
      <c r="AX257" s="359"/>
      <c r="AY257" s="434" t="s">
        <v>43</v>
      </c>
      <c r="AZ257" s="362">
        <f t="shared" si="148"/>
        <v>0</v>
      </c>
      <c r="BA257" s="363" t="s">
        <v>42</v>
      </c>
      <c r="BB257" s="433">
        <f>IF($AG$2&gt;0,"限度超過",AR257+AW257)</f>
        <v>0</v>
      </c>
      <c r="BC257" s="359"/>
      <c r="BD257" s="451" t="s">
        <v>43</v>
      </c>
      <c r="BE257" s="81">
        <f t="shared" si="149"/>
        <v>0</v>
      </c>
      <c r="BF257" s="82" t="s">
        <v>42</v>
      </c>
      <c r="BG257" s="29">
        <f>BG247</f>
        <v>0</v>
      </c>
      <c r="BH257" s="12"/>
      <c r="BI257" s="30" t="s">
        <v>43</v>
      </c>
      <c r="BJ257" s="29">
        <f t="shared" si="150"/>
        <v>0</v>
      </c>
      <c r="BK257" s="30" t="s">
        <v>42</v>
      </c>
      <c r="BL257" s="29">
        <f>IF($A$265=$L$265,"限度超過",IF(BG257=0,0,BG257/$S$183))</f>
        <v>0</v>
      </c>
      <c r="BM257" s="12"/>
      <c r="BN257" s="30" t="s">
        <v>43</v>
      </c>
      <c r="BO257" s="29">
        <f t="shared" si="151"/>
        <v>0</v>
      </c>
      <c r="BP257" s="30" t="s">
        <v>42</v>
      </c>
      <c r="BQ257" s="460">
        <f>IF($A$265=$L$265,"限度超過",IF($S$183&lt;=6,0,BL257))</f>
        <v>0</v>
      </c>
      <c r="BR257" s="12"/>
      <c r="BS257" s="12"/>
      <c r="BT257" s="12"/>
      <c r="BU257" s="12"/>
      <c r="BV257" s="12"/>
      <c r="BW257" s="12"/>
      <c r="BX257" s="32" t="s">
        <v>26</v>
      </c>
      <c r="BY257" s="26">
        <f>H248</f>
        <v>0</v>
      </c>
      <c r="BZ257" s="99">
        <f t="shared" si="152"/>
        <v>0</v>
      </c>
      <c r="CA257" s="99">
        <f t="shared" si="152"/>
        <v>0</v>
      </c>
      <c r="CB257" s="99">
        <f t="shared" si="152"/>
        <v>0</v>
      </c>
      <c r="CC257" s="4"/>
      <c r="CD257" s="4"/>
      <c r="CE257" s="4"/>
      <c r="CF257" s="4"/>
      <c r="CG257" s="4"/>
      <c r="CH257" s="4"/>
      <c r="CI257" s="13"/>
    </row>
    <row r="258" spans="1:87" ht="18.75" customHeight="1">
      <c r="A258" s="1421" t="s">
        <v>10</v>
      </c>
      <c r="B258" s="12"/>
      <c r="C258" s="12"/>
      <c r="D258" s="1419" t="s">
        <v>7</v>
      </c>
      <c r="E258" s="1416">
        <f>IF(H258&gt;0,$CE$186,0)</f>
        <v>0</v>
      </c>
      <c r="F258" s="97"/>
      <c r="G258" s="855" t="s">
        <v>59</v>
      </c>
      <c r="H258" s="1413">
        <f>IF(B253=0,0,SUBTOTAL(3,B253))</f>
        <v>0</v>
      </c>
      <c r="I258" s="1277" t="s">
        <v>22</v>
      </c>
      <c r="J258" s="855" t="s">
        <v>59</v>
      </c>
      <c r="K258" s="51">
        <f>IF(H258&gt;0,K255,0)</f>
        <v>0</v>
      </c>
      <c r="L258" s="52" t="s">
        <v>5</v>
      </c>
      <c r="M258" s="1407" t="s">
        <v>122</v>
      </c>
      <c r="N258" s="1402">
        <f>IF(O258=0,0,"―")</f>
        <v>0</v>
      </c>
      <c r="O258" s="1404">
        <f>IF(H258&lt;=0,0,IF($D$183=0,0,IF($D$183=7,BZ266,IF($D$183=5,CA266,IF($D$183=2,CB266,"間違い!")))))</f>
        <v>0</v>
      </c>
      <c r="P258" s="1405"/>
      <c r="Q258" s="1377" t="s">
        <v>130</v>
      </c>
      <c r="R258" s="1403">
        <f>IF(H258&gt;0,IF(K255=0,0,ROUNDDOWN(((E258*H258)*K258/K259)-O258,0)),0)</f>
        <v>0</v>
      </c>
      <c r="S258" s="1408" t="s">
        <v>6</v>
      </c>
      <c r="T258" s="1388" t="s">
        <v>32</v>
      </c>
      <c r="U258" s="1387">
        <f>IF($L$265=$A$265,"限度超過",U256)</f>
        <v>0</v>
      </c>
      <c r="V258" s="1389" t="s">
        <v>6</v>
      </c>
      <c r="W258" s="30" t="s">
        <v>37</v>
      </c>
      <c r="X258" s="29">
        <f t="shared" si="147"/>
        <v>0</v>
      </c>
      <c r="Y258" s="1199" t="s">
        <v>44</v>
      </c>
      <c r="Z258" s="1394">
        <f>IF($AH$13&gt;0,0,BB258)</f>
        <v>0</v>
      </c>
      <c r="AC258" s="492"/>
      <c r="AD258" s="4"/>
      <c r="AE258" s="500" t="str">
        <f>IF($AG$2&gt;0,"限度超過",IF(X254+X255+X256+X257+X258+X259+Z254+Z255+Z256+Z257=Z258,"OK","エラー"))</f>
        <v>OK</v>
      </c>
      <c r="AF258" s="1361">
        <f>IF(H258&gt;0,IF(K255=0,0,ROUNDDOWN((E258*H258)-O258,0)),0)</f>
        <v>0</v>
      </c>
      <c r="AG258" s="4"/>
      <c r="AH258" s="4"/>
      <c r="AI258" s="174"/>
      <c r="AJ258" s="174"/>
      <c r="AK258" s="174"/>
      <c r="AL258" s="174"/>
      <c r="AM258" s="174"/>
      <c r="AN258" s="389"/>
      <c r="AO258" s="364" t="s">
        <v>37</v>
      </c>
      <c r="AP258" s="390">
        <f>ROUND(AP80*AQ253,0)</f>
        <v>0</v>
      </c>
      <c r="AQ258" s="365" t="s">
        <v>44</v>
      </c>
      <c r="AR258" s="366">
        <f>AP254+AP255+AP256+AP257+AP258+AP259+AR254+AR255+AR256+AR257</f>
        <v>0</v>
      </c>
      <c r="AS258" s="389"/>
      <c r="AT258" s="364" t="s">
        <v>37</v>
      </c>
      <c r="AU258" s="390">
        <f>IF(AV253=0,0,IF(AV253&gt;=6,1,IF(AV253&lt;=-6,-1,0)))</f>
        <v>0</v>
      </c>
      <c r="AV258" s="394" t="s">
        <v>44</v>
      </c>
      <c r="AW258" s="395">
        <f>AU254+AU255+AU256+AU257+AU258+AU259+AW254+AW255+AW256+AW257</f>
        <v>0</v>
      </c>
      <c r="AX258" s="359"/>
      <c r="AY258" s="434" t="s">
        <v>37</v>
      </c>
      <c r="AZ258" s="362">
        <f t="shared" si="148"/>
        <v>0</v>
      </c>
      <c r="BA258" s="365" t="s">
        <v>44</v>
      </c>
      <c r="BB258" s="435">
        <f>IF($AG$2&gt;0,"限度超過",AZ254+AZ255+AZ256+AZ257+AZ258+AZ259+BB254+BB255+BB256+BB257)</f>
        <v>0</v>
      </c>
      <c r="BC258" s="359"/>
      <c r="BD258" s="451" t="s">
        <v>37</v>
      </c>
      <c r="BE258" s="81">
        <f t="shared" si="149"/>
        <v>0</v>
      </c>
      <c r="BF258" s="443" t="s">
        <v>44</v>
      </c>
      <c r="BG258" s="29">
        <f>IF($A$265=$L$265,"限度超過",BE254+BE255+BE256+BE257+BE258+BE259+BG254+BG255+BG256+BG257)</f>
        <v>0</v>
      </c>
      <c r="BH258" s="12"/>
      <c r="BI258" s="30" t="s">
        <v>37</v>
      </c>
      <c r="BJ258" s="29">
        <f t="shared" si="150"/>
        <v>0</v>
      </c>
      <c r="BK258" s="98" t="s">
        <v>44</v>
      </c>
      <c r="BL258" s="29">
        <f>IF($A$265=$L$265,"限度超過",BJ254+BJ255+BJ256+BJ257+BJ258+BJ259+BL254+BL255+BL256+BL257)</f>
        <v>0</v>
      </c>
      <c r="BM258" s="12"/>
      <c r="BN258" s="30" t="s">
        <v>37</v>
      </c>
      <c r="BO258" s="29">
        <f t="shared" si="151"/>
        <v>0</v>
      </c>
      <c r="BP258" s="98" t="s">
        <v>44</v>
      </c>
      <c r="BQ258" s="460">
        <f>IF($A$265=$L$265,"限度超過",BO254+BO255+BO256+BO257+BO258+BO259+BQ254+BQ255+BQ256+BQ257)</f>
        <v>0</v>
      </c>
      <c r="BR258" s="12"/>
      <c r="BS258" s="12"/>
      <c r="BT258" s="12"/>
      <c r="BU258" s="106" t="s">
        <v>56</v>
      </c>
      <c r="BV258" s="32" t="s">
        <v>8</v>
      </c>
      <c r="BW258" s="12"/>
      <c r="BX258" s="67" t="s">
        <v>27</v>
      </c>
      <c r="BY258" s="45">
        <f>IF(BY257&gt;0,ROUNDDOWN(BY254*BY257*BY255/BY256,0),0)</f>
        <v>0</v>
      </c>
      <c r="BZ258" s="45">
        <f>IF(BZ257&gt;0,ROUNDDOWN(BZ254*BZ257*BZ255/BZ256,0),0)</f>
        <v>0</v>
      </c>
      <c r="CA258" s="45">
        <f>IF(CA257&gt;0,ROUNDDOWN(CA254*CA257*CA255/CA256,0),0)</f>
        <v>0</v>
      </c>
      <c r="CB258" s="45">
        <f>IF(CB257&gt;0,ROUNDDOWN(CB254*CB257*CB255/CB256,0),0)</f>
        <v>0</v>
      </c>
      <c r="CC258" s="4"/>
      <c r="CE258" s="4"/>
      <c r="CF258" s="4"/>
      <c r="CG258" s="4"/>
      <c r="CH258" s="4"/>
      <c r="CI258" s="13"/>
    </row>
    <row r="259" spans="1:87" ht="18.75" customHeight="1">
      <c r="A259" s="1421"/>
      <c r="B259" s="12"/>
      <c r="C259" s="12"/>
      <c r="D259" s="1419"/>
      <c r="E259" s="1416"/>
      <c r="F259" s="12"/>
      <c r="G259" s="855"/>
      <c r="H259" s="1413"/>
      <c r="I259" s="1277"/>
      <c r="J259" s="855"/>
      <c r="K259" s="180">
        <f>IF(H258&gt;0,K256,0)</f>
        <v>0</v>
      </c>
      <c r="L259" s="12" t="s">
        <v>5</v>
      </c>
      <c r="M259" s="1407"/>
      <c r="N259" s="1402"/>
      <c r="O259" s="1405"/>
      <c r="P259" s="1405"/>
      <c r="Q259" s="1377"/>
      <c r="R259" s="1403"/>
      <c r="S259" s="1408"/>
      <c r="T259" s="1388"/>
      <c r="U259" s="1387"/>
      <c r="V259" s="1389"/>
      <c r="W259" s="30" t="s">
        <v>38</v>
      </c>
      <c r="X259" s="29">
        <f t="shared" si="147"/>
        <v>0</v>
      </c>
      <c r="Y259" s="1368"/>
      <c r="Z259" s="1395"/>
      <c r="AC259" s="492"/>
      <c r="AD259" s="4"/>
      <c r="AE259" s="74"/>
      <c r="AF259" s="1360"/>
      <c r="AG259" s="71"/>
      <c r="AH259" s="71"/>
      <c r="AI259" s="174"/>
      <c r="AJ259" s="174"/>
      <c r="AK259" s="174"/>
      <c r="AL259" s="174"/>
      <c r="AM259" s="174"/>
      <c r="AN259" s="389"/>
      <c r="AO259" s="364" t="s">
        <v>38</v>
      </c>
      <c r="AP259" s="390">
        <f>ROUND(AP81*AQ253,0)</f>
        <v>0</v>
      </c>
      <c r="AQ259" s="363" t="s">
        <v>75</v>
      </c>
      <c r="AR259" s="396">
        <f>U258</f>
        <v>0</v>
      </c>
      <c r="AS259" s="389"/>
      <c r="AT259" s="364" t="s">
        <v>38</v>
      </c>
      <c r="AU259" s="390">
        <f>IF(AV253=0,0,IF(AV253&gt;=5,1,IF(AV253&lt;=-5,-1,0)))</f>
        <v>0</v>
      </c>
      <c r="AV259" s="392"/>
      <c r="AW259" s="397" t="str">
        <f>IF(AU254+AU255+AU256+AU257+AU258+AU259+AW254+AW255+AW256+AW257=AV253,"計算ＯＫ","エラー発生")</f>
        <v>計算ＯＫ</v>
      </c>
      <c r="AX259" s="359"/>
      <c r="AY259" s="434" t="s">
        <v>38</v>
      </c>
      <c r="AZ259" s="362">
        <f t="shared" si="148"/>
        <v>0</v>
      </c>
      <c r="BA259" s="363"/>
      <c r="BB259" s="436">
        <f>IF($AG$2&gt;0,"限度超過",U258)</f>
        <v>0</v>
      </c>
      <c r="BC259" s="359"/>
      <c r="BD259" s="451" t="s">
        <v>38</v>
      </c>
      <c r="BE259" s="81">
        <f t="shared" si="149"/>
        <v>0</v>
      </c>
      <c r="BF259" s="82"/>
      <c r="BG259" s="100"/>
      <c r="BH259" s="12"/>
      <c r="BI259" s="30" t="s">
        <v>38</v>
      </c>
      <c r="BJ259" s="29">
        <f t="shared" si="150"/>
        <v>0</v>
      </c>
      <c r="BK259" s="30"/>
      <c r="BL259" s="100"/>
      <c r="BM259" s="12"/>
      <c r="BN259" s="30" t="s">
        <v>38</v>
      </c>
      <c r="BO259" s="29">
        <f t="shared" si="151"/>
        <v>0</v>
      </c>
      <c r="BP259" s="30"/>
      <c r="BQ259" s="461"/>
      <c r="BR259" s="12"/>
      <c r="BS259" s="12"/>
      <c r="BT259" s="12"/>
      <c r="BU259" s="32" t="s">
        <v>132</v>
      </c>
      <c r="BV259" s="45">
        <f>K195</f>
        <v>0</v>
      </c>
      <c r="BW259" s="12"/>
      <c r="BX259" s="4"/>
      <c r="BY259" s="4"/>
      <c r="BZ259" s="4"/>
      <c r="CA259" s="4"/>
      <c r="CB259" s="4"/>
      <c r="CC259" s="4"/>
      <c r="CD259" s="4"/>
      <c r="CE259" s="4"/>
      <c r="CF259" s="4"/>
      <c r="CG259" s="4"/>
      <c r="CH259" s="4"/>
      <c r="CI259" s="13"/>
    </row>
    <row r="260" spans="1:87" ht="18.75" customHeight="1" thickBot="1">
      <c r="A260" s="202"/>
      <c r="B260" s="75" t="s">
        <v>118</v>
      </c>
      <c r="C260" s="12"/>
      <c r="D260" s="160"/>
      <c r="E260" s="161"/>
      <c r="F260" s="12"/>
      <c r="G260" s="50"/>
      <c r="H260" s="162"/>
      <c r="I260" s="159"/>
      <c r="J260" s="50"/>
      <c r="K260" s="180"/>
      <c r="L260" s="12"/>
      <c r="M260" s="86"/>
      <c r="N260" s="86"/>
      <c r="O260" s="181"/>
      <c r="P260" s="181"/>
      <c r="Q260" s="156"/>
      <c r="R260" s="157"/>
      <c r="S260" s="49"/>
      <c r="T260" s="50"/>
      <c r="U260" s="182"/>
      <c r="V260" s="50"/>
      <c r="W260" s="4"/>
      <c r="X260" s="26"/>
      <c r="Y260" s="170"/>
      <c r="Z260" s="187"/>
      <c r="AC260" s="492"/>
      <c r="AD260" s="4"/>
      <c r="AE260" s="74"/>
      <c r="AF260" s="236"/>
      <c r="AG260" s="73"/>
      <c r="AH260" s="191"/>
      <c r="AI260" s="174"/>
      <c r="AJ260" s="174"/>
      <c r="AK260" s="174"/>
      <c r="AL260" s="174"/>
      <c r="AM260" s="174"/>
      <c r="AN260" s="389"/>
      <c r="AO260" s="367"/>
      <c r="AP260" s="367"/>
      <c r="AQ260" s="368"/>
      <c r="AR260" s="368"/>
      <c r="AS260" s="389"/>
      <c r="AT260" s="389"/>
      <c r="AU260" s="389"/>
      <c r="AV260" s="389"/>
      <c r="AW260" s="389"/>
      <c r="AX260" s="359"/>
      <c r="AY260" s="437"/>
      <c r="AZ260" s="470" t="str">
        <f>IF($AG$2&gt;0,"限度超過","－")</f>
        <v>－</v>
      </c>
      <c r="BA260" s="368"/>
      <c r="BB260" s="469" t="str">
        <f>IF(BB258=BB259,"OK","エラー")</f>
        <v>OK</v>
      </c>
      <c r="BC260" s="359"/>
      <c r="BD260" s="454"/>
      <c r="BE260" s="455"/>
      <c r="BF260" s="455"/>
      <c r="BG260" s="455"/>
      <c r="BH260" s="456"/>
      <c r="BI260" s="455"/>
      <c r="BJ260" s="455"/>
      <c r="BK260" s="455"/>
      <c r="BL260" s="455"/>
      <c r="BM260" s="456"/>
      <c r="BN260" s="455"/>
      <c r="BO260" s="455"/>
      <c r="BP260" s="455"/>
      <c r="BQ260" s="464"/>
      <c r="BR260" s="12"/>
      <c r="BS260" s="12"/>
      <c r="BT260" s="12"/>
      <c r="BU260" s="32" t="s">
        <v>133</v>
      </c>
      <c r="BV260" s="45">
        <f>K205</f>
        <v>0</v>
      </c>
      <c r="BW260" s="12"/>
      <c r="BX260" s="4"/>
      <c r="BY260" s="4"/>
      <c r="BZ260" s="4"/>
      <c r="CA260" s="4"/>
      <c r="CB260" s="4"/>
      <c r="CC260" s="4"/>
      <c r="CI260" s="13"/>
    </row>
    <row r="261" spans="1:87" ht="18.75" customHeight="1" thickTop="1">
      <c r="A261" s="58" t="s">
        <v>1</v>
      </c>
      <c r="B261" s="52"/>
      <c r="C261" s="189">
        <f>IF(H258&gt;0,$X$191,0)</f>
        <v>0</v>
      </c>
      <c r="D261" s="203" t="s">
        <v>6</v>
      </c>
      <c r="E261" s="60" t="s">
        <v>131</v>
      </c>
      <c r="F261" s="1204">
        <f>K255</f>
        <v>0</v>
      </c>
      <c r="G261" s="1204"/>
      <c r="H261" s="216" t="s">
        <v>5</v>
      </c>
      <c r="I261" s="1451" t="s">
        <v>14</v>
      </c>
      <c r="J261" s="1451"/>
      <c r="K261" s="1204">
        <f>C261*F261</f>
        <v>0</v>
      </c>
      <c r="L261" s="1204"/>
      <c r="M261" s="204" t="s">
        <v>6</v>
      </c>
      <c r="N261" s="204"/>
      <c r="O261" s="205"/>
      <c r="P261" s="205"/>
      <c r="Q261" s="63"/>
      <c r="R261" s="206"/>
      <c r="S261" s="59"/>
      <c r="T261" s="27"/>
      <c r="U261" s="207"/>
      <c r="V261" s="27"/>
      <c r="W261" s="188"/>
      <c r="X261" s="189"/>
      <c r="Y261" s="208"/>
      <c r="Z261" s="163"/>
      <c r="AC261" s="492"/>
      <c r="AD261" s="4"/>
      <c r="AE261" s="74"/>
      <c r="AF261" s="237"/>
      <c r="AG261" s="26"/>
      <c r="AH261" s="26"/>
      <c r="AI261" s="174"/>
      <c r="AJ261" s="174"/>
      <c r="AK261" s="174"/>
      <c r="AL261" s="174"/>
      <c r="AM261" s="174"/>
      <c r="AN261" s="174"/>
      <c r="AO261" s="174"/>
      <c r="AP261" s="174"/>
      <c r="AQ261" s="174"/>
      <c r="AR261" s="174"/>
      <c r="AS261" s="174"/>
      <c r="AT261" s="174"/>
      <c r="AU261" s="174"/>
      <c r="AV261" s="174"/>
      <c r="AW261" s="174"/>
      <c r="AX261" s="12"/>
      <c r="BC261" s="12"/>
      <c r="BH261" s="12"/>
      <c r="BM261" s="12"/>
      <c r="BR261" s="12"/>
      <c r="BS261" s="12"/>
      <c r="BT261" s="12"/>
      <c r="BU261" s="229" t="s">
        <v>134</v>
      </c>
      <c r="BV261" s="99">
        <f>K215</f>
        <v>0</v>
      </c>
      <c r="BW261" s="12"/>
      <c r="BX261" s="32"/>
      <c r="BY261" s="33" t="str">
        <f>BY253</f>
        <v>料率</v>
      </c>
      <c r="BZ261" s="33">
        <f>BZ253</f>
        <v>7</v>
      </c>
      <c r="CA261" s="33">
        <f>CA253</f>
        <v>5</v>
      </c>
      <c r="CB261" s="33">
        <f>CB253</f>
        <v>2</v>
      </c>
      <c r="CC261" s="4"/>
      <c r="CD261" s="4"/>
      <c r="CE261" s="4"/>
      <c r="CF261" s="4"/>
      <c r="CG261" s="4"/>
      <c r="CH261" s="4"/>
      <c r="CI261" s="13"/>
    </row>
    <row r="262" spans="1:87" ht="25.5">
      <c r="D262" s="101"/>
      <c r="E262" s="70"/>
      <c r="G262" s="9"/>
      <c r="H262" s="102"/>
      <c r="I262" s="107"/>
      <c r="J262" s="9"/>
      <c r="K262" s="108"/>
      <c r="Q262" s="70"/>
      <c r="R262" s="69"/>
      <c r="S262" s="68"/>
      <c r="T262" s="68"/>
      <c r="U262" s="68"/>
      <c r="AC262" s="492"/>
      <c r="AD262" s="4"/>
      <c r="AE262" s="74"/>
      <c r="AF262" s="233"/>
      <c r="AG262" s="26"/>
      <c r="AH262" s="4"/>
      <c r="AI262" s="174"/>
      <c r="AJ262" s="174"/>
      <c r="AK262" s="174"/>
      <c r="AL262" s="174"/>
      <c r="AM262" s="174"/>
      <c r="AN262" s="174"/>
      <c r="AO262" s="174"/>
      <c r="AP262" s="174"/>
      <c r="AQ262" s="174"/>
      <c r="AR262" s="174"/>
      <c r="AS262" s="174"/>
      <c r="AT262" s="174"/>
      <c r="AU262" s="174"/>
      <c r="AV262" s="174"/>
      <c r="AW262" s="174"/>
      <c r="AX262" s="12"/>
      <c r="BC262" s="12"/>
      <c r="BH262" s="12"/>
      <c r="BM262" s="12"/>
      <c r="BR262" s="12"/>
      <c r="BS262" s="12"/>
      <c r="BT262" s="12"/>
      <c r="BU262" s="218" t="s">
        <v>135</v>
      </c>
      <c r="BV262" s="219">
        <f>K225</f>
        <v>0</v>
      </c>
      <c r="BW262" s="12"/>
      <c r="BX262" s="32" t="s">
        <v>17</v>
      </c>
      <c r="BY262" s="44">
        <v>0</v>
      </c>
      <c r="BZ262" s="45">
        <f>$CF$186</f>
        <v>5440</v>
      </c>
      <c r="CA262" s="45">
        <f>$CG$186</f>
        <v>3880</v>
      </c>
      <c r="CB262" s="45">
        <f>$CH$186</f>
        <v>1560</v>
      </c>
      <c r="CC262" s="4"/>
      <c r="CD262" s="4"/>
      <c r="CE262" s="4"/>
      <c r="CF262" s="4"/>
      <c r="CG262" s="4"/>
      <c r="CH262" s="4"/>
      <c r="CI262" s="13"/>
    </row>
    <row r="263" spans="1:87" ht="25.5">
      <c r="D263" s="101"/>
      <c r="E263" s="70"/>
      <c r="G263" s="9"/>
      <c r="H263" s="102"/>
      <c r="I263" s="107"/>
      <c r="J263" s="9"/>
      <c r="K263" s="108"/>
      <c r="Q263" s="70"/>
      <c r="R263" s="69"/>
      <c r="S263" s="68"/>
      <c r="T263" s="68"/>
      <c r="U263" s="68"/>
      <c r="AC263" s="492"/>
      <c r="AD263" s="4"/>
      <c r="AE263" s="74"/>
      <c r="AF263" s="233"/>
      <c r="AG263" s="26"/>
      <c r="AH263" s="71"/>
      <c r="AI263" s="174"/>
      <c r="AJ263" s="174"/>
      <c r="AK263" s="174"/>
      <c r="AL263" s="174"/>
      <c r="AM263" s="174"/>
      <c r="AN263" s="174"/>
      <c r="AO263" s="174"/>
      <c r="AP263" s="174"/>
      <c r="AQ263" s="174"/>
      <c r="AR263" s="174"/>
      <c r="AS263" s="174"/>
      <c r="AT263" s="174"/>
      <c r="AU263" s="174"/>
      <c r="AV263" s="174"/>
      <c r="AW263" s="174"/>
      <c r="AX263" s="12"/>
      <c r="BC263" s="12"/>
      <c r="BH263" s="12"/>
      <c r="BM263" s="12"/>
      <c r="BR263" s="12"/>
      <c r="BS263" s="12"/>
      <c r="BT263" s="12"/>
      <c r="BU263" s="32" t="s">
        <v>136</v>
      </c>
      <c r="BV263" s="45">
        <f>K235</f>
        <v>0</v>
      </c>
      <c r="BW263" s="12"/>
      <c r="BX263" s="32" t="s">
        <v>8</v>
      </c>
      <c r="BY263" s="45">
        <f>K258</f>
        <v>0</v>
      </c>
      <c r="BZ263" s="45">
        <f t="shared" ref="BZ263:CB265" si="153">BY263</f>
        <v>0</v>
      </c>
      <c r="CA263" s="45">
        <f t="shared" si="153"/>
        <v>0</v>
      </c>
      <c r="CB263" s="45">
        <f t="shared" si="153"/>
        <v>0</v>
      </c>
      <c r="CC263" s="4"/>
      <c r="CD263" s="4"/>
      <c r="CE263" s="4"/>
      <c r="CF263" s="4"/>
      <c r="CG263" s="4"/>
      <c r="CH263" s="4"/>
      <c r="CI263" s="13"/>
    </row>
    <row r="264" spans="1:87" ht="26.25" thickBot="1">
      <c r="D264" s="101"/>
      <c r="E264" s="70"/>
      <c r="G264" s="9"/>
      <c r="H264" s="102"/>
      <c r="I264" s="107"/>
      <c r="J264" s="9"/>
      <c r="K264" s="108"/>
      <c r="Q264" s="70"/>
      <c r="R264" s="69"/>
      <c r="S264" s="68"/>
      <c r="T264" s="68"/>
      <c r="U264" s="68"/>
      <c r="AC264" s="492"/>
      <c r="AD264" s="4"/>
      <c r="AE264" s="74"/>
      <c r="AF264" s="233"/>
      <c r="AG264" s="26"/>
      <c r="AH264" s="191"/>
      <c r="AI264" s="174"/>
      <c r="AJ264" s="174"/>
      <c r="AK264" s="174"/>
      <c r="AL264" s="174"/>
      <c r="AM264" s="174"/>
      <c r="AN264" s="174"/>
      <c r="AO264" s="174"/>
      <c r="AP264" s="174"/>
      <c r="AQ264" s="174"/>
      <c r="AR264" s="174"/>
      <c r="AS264" s="174"/>
      <c r="AT264" s="174"/>
      <c r="AU264" s="174"/>
      <c r="AV264" s="174"/>
      <c r="AW264" s="174"/>
      <c r="AX264" s="12"/>
      <c r="BC264" s="12"/>
      <c r="BH264" s="12"/>
      <c r="BM264" s="12"/>
      <c r="BR264" s="12"/>
      <c r="BS264" s="12"/>
      <c r="BT264" s="12"/>
      <c r="BU264" s="32" t="s">
        <v>137</v>
      </c>
      <c r="BV264" s="45">
        <f>K245</f>
        <v>0</v>
      </c>
      <c r="BW264" s="12"/>
      <c r="BX264" s="32" t="s">
        <v>25</v>
      </c>
      <c r="BY264" s="45">
        <f>K259</f>
        <v>0</v>
      </c>
      <c r="BZ264" s="45">
        <f t="shared" si="153"/>
        <v>0</v>
      </c>
      <c r="CA264" s="45">
        <f t="shared" si="153"/>
        <v>0</v>
      </c>
      <c r="CB264" s="45">
        <f t="shared" si="153"/>
        <v>0</v>
      </c>
      <c r="CC264" s="4"/>
      <c r="CD264" s="4"/>
      <c r="CE264" s="4"/>
      <c r="CF264" s="4"/>
      <c r="CG264" s="4"/>
      <c r="CH264" s="4"/>
      <c r="CI264" s="13"/>
    </row>
    <row r="265" spans="1:87" ht="25.5" thickTop="1" thickBot="1">
      <c r="A265" s="1460">
        <f>CE188</f>
        <v>170000</v>
      </c>
      <c r="B265" s="1460"/>
      <c r="C265" s="1460"/>
      <c r="D265" s="1460"/>
      <c r="F265" s="109"/>
      <c r="G265" s="109"/>
      <c r="H265" s="1461" t="s">
        <v>119</v>
      </c>
      <c r="I265" s="1462"/>
      <c r="J265" s="1462"/>
      <c r="K265" s="1462"/>
      <c r="L265" s="1401">
        <f>IF(ROUNDDOWN(R195+R198+K201+R205+R208+K211+R215+R218+K221+R225+R228+K231+R235+R238+K241+R245+R248+K251+R255+R258+K261,-2)&gt;A265,A265,ROUNDDOWN(R195+R198+K201+R205+R208+K211+R215+R218+K221+R225+R228+K231+R235+R238+K241+R245+R248+K251+R255+R258+K261,-2))</f>
        <v>0</v>
      </c>
      <c r="M265" s="1401"/>
      <c r="N265" s="1401"/>
      <c r="O265" s="1401"/>
      <c r="P265" s="1401"/>
      <c r="Q265" s="1401"/>
      <c r="R265" s="1401"/>
      <c r="S265" s="110" t="s">
        <v>6</v>
      </c>
      <c r="T265" s="49"/>
      <c r="U265" s="111"/>
      <c r="AC265" s="492"/>
      <c r="AD265" s="4"/>
      <c r="AE265" s="74"/>
      <c r="AF265" s="233"/>
      <c r="AG265" s="26"/>
      <c r="AH265" s="26"/>
      <c r="AI265" s="174"/>
      <c r="AJ265" s="174"/>
      <c r="AK265" s="174"/>
      <c r="AL265" s="174"/>
      <c r="AM265" s="174"/>
      <c r="AN265" s="174"/>
      <c r="AO265" s="174"/>
      <c r="AP265" s="174"/>
      <c r="AQ265" s="174"/>
      <c r="AR265" s="174"/>
      <c r="AS265" s="174"/>
      <c r="AT265" s="174"/>
      <c r="AU265" s="174"/>
      <c r="AV265" s="174"/>
      <c r="AW265" s="174"/>
      <c r="AX265" s="12"/>
      <c r="BC265" s="12"/>
      <c r="BH265" s="12"/>
      <c r="BM265" s="12"/>
      <c r="BR265" s="12"/>
      <c r="BS265" s="12"/>
      <c r="BT265" s="12"/>
      <c r="BU265" s="32" t="s">
        <v>138</v>
      </c>
      <c r="BV265" s="45">
        <f>K255</f>
        <v>0</v>
      </c>
      <c r="BW265" s="12"/>
      <c r="BX265" s="32" t="s">
        <v>26</v>
      </c>
      <c r="BY265" s="26">
        <f>H258</f>
        <v>0</v>
      </c>
      <c r="BZ265" s="99">
        <f t="shared" si="153"/>
        <v>0</v>
      </c>
      <c r="CA265" s="99">
        <f t="shared" si="153"/>
        <v>0</v>
      </c>
      <c r="CB265" s="99">
        <f t="shared" si="153"/>
        <v>0</v>
      </c>
      <c r="CC265" s="4"/>
      <c r="CD265" s="4"/>
      <c r="CE265" s="4"/>
      <c r="CF265" s="4"/>
      <c r="CG265" s="4"/>
      <c r="CH265" s="4"/>
      <c r="CI265" s="13"/>
    </row>
    <row r="266" spans="1:87" ht="15.75" thickTop="1">
      <c r="K266" s="1468"/>
      <c r="L266" s="1468"/>
      <c r="M266" s="1468"/>
      <c r="N266" s="1468"/>
      <c r="O266" s="1468"/>
      <c r="P266" s="1468"/>
      <c r="Q266" s="1468"/>
      <c r="R266" s="112" t="s">
        <v>13</v>
      </c>
      <c r="AC266" s="492"/>
      <c r="AD266" s="4"/>
      <c r="AE266" s="74"/>
      <c r="AF266" s="218"/>
      <c r="AG266" s="4"/>
      <c r="AH266" s="4"/>
      <c r="AI266" s="174"/>
      <c r="AJ266" s="174"/>
      <c r="AK266" s="174"/>
      <c r="AL266" s="174"/>
      <c r="AM266" s="174"/>
      <c r="AN266" s="174"/>
      <c r="AO266" s="174"/>
      <c r="AP266" s="174"/>
      <c r="AQ266" s="174"/>
      <c r="AR266" s="174"/>
      <c r="AS266" s="174"/>
      <c r="AT266" s="174"/>
      <c r="AU266" s="174"/>
      <c r="AV266" s="174"/>
      <c r="AW266" s="174"/>
      <c r="AX266" s="12"/>
      <c r="BC266" s="12"/>
      <c r="BH266" s="12"/>
      <c r="BM266" s="12"/>
      <c r="BR266" s="12"/>
      <c r="BS266" s="12"/>
      <c r="BT266" s="12"/>
      <c r="BU266" s="168" t="s">
        <v>108</v>
      </c>
      <c r="BV266" s="213">
        <f>MAX(BV259:BV265)</f>
        <v>0</v>
      </c>
      <c r="BW266" s="12"/>
      <c r="BX266" s="67" t="s">
        <v>27</v>
      </c>
      <c r="BY266" s="45">
        <f>IF(BY265&gt;0,ROUNDDOWN(BY262*BY265*BY263/BY264,0),0)</f>
        <v>0</v>
      </c>
      <c r="BZ266" s="45">
        <f>IF(BZ265&gt;0,ROUNDDOWN(BZ262*BZ265*BZ263/BZ264,0),0)</f>
        <v>0</v>
      </c>
      <c r="CA266" s="45">
        <f>IF(CA265&gt;0,ROUNDDOWN(CA262*CA265*CA263/CA264,0),0)</f>
        <v>0</v>
      </c>
      <c r="CB266" s="45">
        <f>IF(CB265&gt;0,ROUNDDOWN(CB262*CB265*CB263/CB264,0),0)</f>
        <v>0</v>
      </c>
      <c r="CC266" s="4"/>
      <c r="CD266" s="4"/>
      <c r="CE266" s="4"/>
      <c r="CF266" s="4"/>
      <c r="CG266" s="4"/>
      <c r="CH266" s="4"/>
      <c r="CI266" s="13"/>
    </row>
    <row r="267" spans="1:87">
      <c r="B267" s="113"/>
      <c r="C267" s="113"/>
      <c r="D267" s="113"/>
      <c r="K267" s="70"/>
      <c r="L267" s="70"/>
      <c r="M267" s="70"/>
      <c r="N267" s="114"/>
      <c r="O267" s="114"/>
      <c r="P267" s="70"/>
      <c r="Q267" s="70"/>
      <c r="R267" s="112"/>
      <c r="AC267" s="492"/>
      <c r="AD267" s="4"/>
      <c r="AE267" s="74"/>
      <c r="AF267" s="4"/>
      <c r="AG267" s="4"/>
      <c r="AH267" s="4"/>
      <c r="AI267" s="174"/>
      <c r="AJ267" s="174"/>
      <c r="AK267" s="174"/>
      <c r="AL267" s="174"/>
      <c r="AM267" s="174"/>
      <c r="AN267" s="174"/>
      <c r="AO267" s="174"/>
      <c r="AP267" s="174"/>
      <c r="AQ267" s="174"/>
      <c r="AR267" s="174"/>
      <c r="AS267" s="174"/>
      <c r="AT267" s="174"/>
      <c r="AU267" s="174"/>
      <c r="AV267" s="174"/>
      <c r="AW267" s="174"/>
      <c r="AX267" s="12"/>
      <c r="BC267" s="12"/>
      <c r="BH267" s="12"/>
      <c r="BM267" s="12"/>
      <c r="BR267" s="12"/>
      <c r="BS267" s="12"/>
      <c r="BT267" s="12"/>
      <c r="BU267" s="12"/>
      <c r="BV267" s="12"/>
      <c r="BW267" s="12"/>
      <c r="BX267" s="4"/>
      <c r="BY267" s="4"/>
      <c r="BZ267" s="4"/>
      <c r="CA267" s="4"/>
      <c r="CB267" s="4"/>
      <c r="CC267" s="4"/>
      <c r="CD267" s="4"/>
      <c r="CE267" s="4"/>
      <c r="CF267" s="4"/>
      <c r="CG267" s="4"/>
      <c r="CH267" s="4"/>
      <c r="CI267" s="13"/>
    </row>
    <row r="268" spans="1:87" ht="18" thickBot="1">
      <c r="AC268" s="495"/>
      <c r="AD268" s="121"/>
      <c r="AE268" s="491"/>
      <c r="AF268" s="121"/>
      <c r="AG268" s="121"/>
      <c r="AH268" s="121"/>
      <c r="AI268" s="228"/>
      <c r="AJ268" s="228"/>
      <c r="AK268" s="228"/>
      <c r="AL268" s="228"/>
      <c r="AM268" s="228"/>
      <c r="AN268" s="228"/>
      <c r="AO268" s="228"/>
      <c r="AP268" s="228"/>
      <c r="AQ268" s="228"/>
      <c r="AR268" s="228"/>
      <c r="AS268" s="228"/>
      <c r="AT268" s="228"/>
      <c r="AU268" s="228"/>
      <c r="AV268" s="228"/>
      <c r="AW268" s="228"/>
      <c r="AX268" s="122"/>
      <c r="AY268" s="121"/>
      <c r="AZ268" s="121"/>
      <c r="BA268" s="195"/>
      <c r="BB268" s="195"/>
      <c r="BC268" s="122"/>
      <c r="BD268" s="121"/>
      <c r="BE268" s="121"/>
      <c r="BF268" s="121"/>
      <c r="BG268" s="121"/>
      <c r="BH268" s="122"/>
      <c r="BI268" s="121"/>
      <c r="BJ268" s="121"/>
      <c r="BK268" s="121"/>
      <c r="BL268" s="121"/>
      <c r="BM268" s="122"/>
      <c r="BN268" s="121"/>
      <c r="BO268" s="121"/>
      <c r="BP268" s="121"/>
      <c r="BQ268" s="121"/>
      <c r="BR268" s="122"/>
      <c r="BS268" s="122"/>
      <c r="BT268" s="122"/>
      <c r="BU268" s="122"/>
      <c r="BV268" s="122"/>
      <c r="BW268" s="122"/>
      <c r="BX268" s="121"/>
      <c r="BY268" s="121"/>
      <c r="BZ268" s="121"/>
      <c r="CA268" s="121"/>
      <c r="CB268" s="121"/>
      <c r="CC268" s="121"/>
      <c r="CD268" s="121"/>
      <c r="CE268" s="121"/>
      <c r="CF268" s="121"/>
      <c r="CG268" s="121"/>
      <c r="CH268" s="121"/>
      <c r="CI268" s="123"/>
    </row>
    <row r="269" spans="1:87">
      <c r="BH269" s="12"/>
      <c r="BM269" s="12"/>
      <c r="BR269" s="12"/>
      <c r="BS269" s="12"/>
      <c r="BT269" s="12"/>
      <c r="BU269" s="12"/>
      <c r="BV269" s="12"/>
      <c r="BW269" s="12"/>
      <c r="BX269" s="4"/>
      <c r="BY269" s="4"/>
      <c r="BZ269" s="4"/>
      <c r="CA269" s="4"/>
      <c r="CB269" s="4"/>
      <c r="CC269" s="4"/>
    </row>
    <row r="270" spans="1:87">
      <c r="U270" s="190"/>
      <c r="V270" s="9"/>
      <c r="W270" s="1139" t="s">
        <v>46</v>
      </c>
      <c r="X270" s="1273"/>
      <c r="Y270" s="1270"/>
      <c r="Z270" s="1271"/>
    </row>
    <row r="271" spans="1:87">
      <c r="V271" s="9"/>
      <c r="W271" s="80" t="s">
        <v>34</v>
      </c>
      <c r="X271" s="29">
        <f t="shared" ref="X271:X276" si="154">(X16+X26+X36+X46+X56+X66+X76)-X5</f>
        <v>0</v>
      </c>
      <c r="Y271" s="80" t="s">
        <v>39</v>
      </c>
      <c r="Z271" s="29">
        <f>(Z16+Z26+Z36+Z46+Z56+Z66+Z76)-Z5</f>
        <v>0</v>
      </c>
    </row>
    <row r="272" spans="1:87">
      <c r="V272" s="9" t="s">
        <v>168</v>
      </c>
      <c r="W272" s="30" t="s">
        <v>35</v>
      </c>
      <c r="X272" s="29">
        <f t="shared" si="154"/>
        <v>0</v>
      </c>
      <c r="Y272" s="30" t="s">
        <v>40</v>
      </c>
      <c r="Z272" s="29">
        <f>(Z17+Z27+Z37+Z47+Z57+Z67+Z77)-Z6</f>
        <v>0</v>
      </c>
    </row>
    <row r="273" spans="21:26">
      <c r="V273" s="9"/>
      <c r="W273" s="30" t="s">
        <v>36</v>
      </c>
      <c r="X273" s="29">
        <f t="shared" si="154"/>
        <v>0</v>
      </c>
      <c r="Y273" s="30" t="s">
        <v>41</v>
      </c>
      <c r="Z273" s="29">
        <f>(Z18+Z28+Z38+Z48+Z58+Z68+Z78)-Z7</f>
        <v>0</v>
      </c>
    </row>
    <row r="274" spans="21:26">
      <c r="V274" s="9" t="s">
        <v>169</v>
      </c>
      <c r="W274" s="30" t="s">
        <v>43</v>
      </c>
      <c r="X274" s="29">
        <f t="shared" si="154"/>
        <v>0</v>
      </c>
      <c r="Y274" s="30" t="s">
        <v>42</v>
      </c>
      <c r="Z274" s="29">
        <f>(Z19+Z29+Z39+Z49+Z59+Z69+Z79)-Z8</f>
        <v>0</v>
      </c>
    </row>
    <row r="275" spans="21:26">
      <c r="V275" s="9"/>
      <c r="W275" s="30" t="s">
        <v>37</v>
      </c>
      <c r="X275" s="29">
        <f t="shared" si="154"/>
        <v>0</v>
      </c>
      <c r="Y275" s="1199" t="s">
        <v>44</v>
      </c>
      <c r="Z275" s="1392">
        <f>X271+X272+X273+X274+X275+X276+Z271+Z272+Z273+Z274</f>
        <v>0</v>
      </c>
    </row>
    <row r="276" spans="21:26">
      <c r="V276" s="9"/>
      <c r="W276" s="30" t="s">
        <v>38</v>
      </c>
      <c r="X276" s="29">
        <f t="shared" si="154"/>
        <v>0</v>
      </c>
      <c r="Y276" s="1368"/>
      <c r="Z276" s="1393"/>
    </row>
    <row r="277" spans="21:26">
      <c r="V277" s="9"/>
    </row>
    <row r="278" spans="21:26">
      <c r="U278" s="190"/>
      <c r="V278" s="9"/>
      <c r="W278" s="1139" t="s">
        <v>46</v>
      </c>
      <c r="X278" s="1273"/>
      <c r="Y278" s="1270"/>
      <c r="Z278" s="1271"/>
    </row>
    <row r="279" spans="21:26">
      <c r="V279" s="9"/>
      <c r="W279" s="80" t="s">
        <v>34</v>
      </c>
      <c r="X279" s="29">
        <f t="shared" ref="X279:X284" si="155">(X105+X115+X125+X135+X145+X155+X165)-X94</f>
        <v>0</v>
      </c>
      <c r="Y279" s="80" t="s">
        <v>39</v>
      </c>
      <c r="Z279" s="29">
        <f>(Z105+Z115+Z125+Z135+Z145+Z155+Z165)-Z94</f>
        <v>0</v>
      </c>
    </row>
    <row r="280" spans="21:26">
      <c r="V280" s="9" t="s">
        <v>170</v>
      </c>
      <c r="W280" s="30" t="s">
        <v>35</v>
      </c>
      <c r="X280" s="29">
        <f t="shared" si="155"/>
        <v>0</v>
      </c>
      <c r="Y280" s="30" t="s">
        <v>40</v>
      </c>
      <c r="Z280" s="29">
        <f>(Z106+Z116+Z126+Z136+Z146+Z156+Z166)-Z95</f>
        <v>0</v>
      </c>
    </row>
    <row r="281" spans="21:26">
      <c r="V281" s="9"/>
      <c r="W281" s="30" t="s">
        <v>36</v>
      </c>
      <c r="X281" s="29">
        <f t="shared" si="155"/>
        <v>0</v>
      </c>
      <c r="Y281" s="30" t="s">
        <v>41</v>
      </c>
      <c r="Z281" s="29">
        <f>(Z107+Z117+Z127+Z137+Z147+Z157+Z167)-Z96</f>
        <v>0</v>
      </c>
    </row>
    <row r="282" spans="21:26">
      <c r="V282" s="9" t="s">
        <v>171</v>
      </c>
      <c r="W282" s="30" t="s">
        <v>43</v>
      </c>
      <c r="X282" s="29">
        <f t="shared" si="155"/>
        <v>0</v>
      </c>
      <c r="Y282" s="30" t="s">
        <v>42</v>
      </c>
      <c r="Z282" s="29">
        <f>(Z108+Z118+Z128+Z138+Z148+Z158+Z168)-Z97</f>
        <v>0</v>
      </c>
    </row>
    <row r="283" spans="21:26">
      <c r="V283" s="9"/>
      <c r="W283" s="30" t="s">
        <v>37</v>
      </c>
      <c r="X283" s="29">
        <f t="shared" si="155"/>
        <v>0</v>
      </c>
      <c r="Y283" s="1199" t="s">
        <v>44</v>
      </c>
      <c r="Z283" s="1392">
        <f>X279+X280+X281+X282+X283+X284+Z279+Z280+Z281+Z282</f>
        <v>0</v>
      </c>
    </row>
    <row r="284" spans="21:26">
      <c r="V284" s="9"/>
      <c r="W284" s="30" t="s">
        <v>38</v>
      </c>
      <c r="X284" s="29">
        <f t="shared" si="155"/>
        <v>0</v>
      </c>
      <c r="Y284" s="1368"/>
      <c r="Z284" s="1393"/>
    </row>
    <row r="285" spans="21:26">
      <c r="V285" s="9"/>
      <c r="W285" s="1139" t="s">
        <v>46</v>
      </c>
      <c r="X285" s="1273"/>
      <c r="Y285" s="1270"/>
      <c r="Z285" s="1271"/>
    </row>
    <row r="286" spans="21:26">
      <c r="V286" s="9"/>
      <c r="W286" s="80" t="s">
        <v>34</v>
      </c>
      <c r="X286" s="29">
        <f t="shared" ref="X286:X291" si="156">(X194+X204+X214+X224+X234+X244+X254)-X183</f>
        <v>0</v>
      </c>
      <c r="Y286" s="80" t="s">
        <v>39</v>
      </c>
      <c r="Z286" s="29">
        <f>(Z194+Z204+Z214+Z224+Z234+Z244+Z254)-Z183</f>
        <v>0</v>
      </c>
    </row>
    <row r="287" spans="21:26">
      <c r="V287" s="9" t="s">
        <v>172</v>
      </c>
      <c r="W287" s="30" t="s">
        <v>35</v>
      </c>
      <c r="X287" s="29">
        <f t="shared" si="156"/>
        <v>0</v>
      </c>
      <c r="Y287" s="30" t="s">
        <v>40</v>
      </c>
      <c r="Z287" s="29">
        <f>(Z195+Z205+Z215+Z225+Z235+Z245+Z255)-Z184</f>
        <v>0</v>
      </c>
    </row>
    <row r="288" spans="21:26">
      <c r="V288" s="9"/>
      <c r="W288" s="30" t="s">
        <v>36</v>
      </c>
      <c r="X288" s="29">
        <f t="shared" si="156"/>
        <v>0</v>
      </c>
      <c r="Y288" s="30" t="s">
        <v>41</v>
      </c>
      <c r="Z288" s="29">
        <f>(Z196+Z206+Z216+Z226+Z236+Z246+Z256)-Z185</f>
        <v>0</v>
      </c>
    </row>
    <row r="289" spans="22:26">
      <c r="V289" s="9" t="s">
        <v>173</v>
      </c>
      <c r="W289" s="30" t="s">
        <v>43</v>
      </c>
      <c r="X289" s="29">
        <f t="shared" si="156"/>
        <v>0</v>
      </c>
      <c r="Y289" s="30" t="s">
        <v>42</v>
      </c>
      <c r="Z289" s="29">
        <f>(Z197+Z207+Z217+Z227+Z237+Z247+Z257)-Z186</f>
        <v>0</v>
      </c>
    </row>
    <row r="290" spans="22:26">
      <c r="V290" s="9"/>
      <c r="W290" s="30" t="s">
        <v>37</v>
      </c>
      <c r="X290" s="29">
        <f t="shared" si="156"/>
        <v>0</v>
      </c>
      <c r="Y290" s="1199" t="s">
        <v>44</v>
      </c>
      <c r="Z290" s="1392">
        <f>X286+X287+X288+X289+X290+X291+Z286+Z287+Z288+Z289</f>
        <v>0</v>
      </c>
    </row>
    <row r="291" spans="22:26">
      <c r="V291" s="9"/>
      <c r="W291" s="30" t="s">
        <v>38</v>
      </c>
      <c r="X291" s="29">
        <f t="shared" si="156"/>
        <v>0</v>
      </c>
      <c r="Y291" s="1368"/>
      <c r="Z291" s="1393"/>
    </row>
    <row r="293" spans="22:26">
      <c r="V293" s="1364" t="s">
        <v>83</v>
      </c>
      <c r="W293" s="1139" t="s">
        <v>46</v>
      </c>
      <c r="X293" s="1367"/>
      <c r="Y293" s="1270"/>
      <c r="Z293" s="1271"/>
    </row>
    <row r="294" spans="22:26">
      <c r="V294" s="1365"/>
      <c r="W294" s="80" t="s">
        <v>34</v>
      </c>
      <c r="X294" s="268">
        <f>Z298-(X295+X296+X297+X298+X299+Z294+Z295+Z296+Z297)</f>
        <v>1700</v>
      </c>
      <c r="Y294" s="80" t="s">
        <v>39</v>
      </c>
      <c r="Z294" s="268">
        <f>ROUNDDOWN($Z$298/10,-2)</f>
        <v>1600</v>
      </c>
    </row>
    <row r="295" spans="22:26">
      <c r="V295" s="1365"/>
      <c r="W295" s="30" t="s">
        <v>35</v>
      </c>
      <c r="X295" s="268">
        <f>ROUNDDOWN($Z$298/10,-2)</f>
        <v>1600</v>
      </c>
      <c r="Y295" s="30" t="s">
        <v>40</v>
      </c>
      <c r="Z295" s="268">
        <f>ROUNDDOWN($Z$298/10,-2)</f>
        <v>1600</v>
      </c>
    </row>
    <row r="296" spans="22:26">
      <c r="V296" s="1365"/>
      <c r="W296" s="30" t="s">
        <v>36</v>
      </c>
      <c r="X296" s="268">
        <f>ROUNDDOWN($Z$298/10,-2)</f>
        <v>1600</v>
      </c>
      <c r="Y296" s="30" t="s">
        <v>41</v>
      </c>
      <c r="Z296" s="268">
        <f>ROUNDDOWN($Z$298/10,-2)</f>
        <v>1600</v>
      </c>
    </row>
    <row r="297" spans="22:26">
      <c r="V297" s="1365"/>
      <c r="W297" s="30" t="s">
        <v>43</v>
      </c>
      <c r="X297" s="268">
        <f>ROUNDDOWN($Z$298/10,-2)</f>
        <v>1600</v>
      </c>
      <c r="Y297" s="30" t="s">
        <v>42</v>
      </c>
      <c r="Z297" s="268">
        <f>ROUNDDOWN($Z$298/10,-2)</f>
        <v>1600</v>
      </c>
    </row>
    <row r="298" spans="22:26">
      <c r="V298" s="1365"/>
      <c r="W298" s="30" t="s">
        <v>37</v>
      </c>
      <c r="X298" s="268">
        <f>ROUNDDOWN($Z$298/10,-2)</f>
        <v>1600</v>
      </c>
      <c r="Y298" s="1199" t="s">
        <v>44</v>
      </c>
      <c r="Z298" s="1369">
        <f>L87+L176+L265</f>
        <v>16100</v>
      </c>
    </row>
    <row r="299" spans="22:26">
      <c r="V299" s="1366"/>
      <c r="W299" s="30" t="s">
        <v>38</v>
      </c>
      <c r="X299" s="268">
        <f>ROUNDDOWN($Z$298/10,-2)</f>
        <v>1600</v>
      </c>
      <c r="Y299" s="1368"/>
      <c r="Z299" s="1370"/>
    </row>
  </sheetData>
  <mergeCells count="1545">
    <mergeCell ref="AT143:AW143"/>
    <mergeCell ref="A109:A110"/>
    <mergeCell ref="S109:S110"/>
    <mergeCell ref="Z109:Z110"/>
    <mergeCell ref="T109:T110"/>
    <mergeCell ref="Q109:Q110"/>
    <mergeCell ref="D109:D110"/>
    <mergeCell ref="E109:E110"/>
    <mergeCell ref="G109:G110"/>
    <mergeCell ref="O109:P110"/>
    <mergeCell ref="H109:H110"/>
    <mergeCell ref="AJ103:AM104"/>
    <mergeCell ref="H169:H170"/>
    <mergeCell ref="A169:A170"/>
    <mergeCell ref="D169:D170"/>
    <mergeCell ref="F172:G172"/>
    <mergeCell ref="I169:I170"/>
    <mergeCell ref="J169:J170"/>
    <mergeCell ref="G169:G170"/>
    <mergeCell ref="E166:E167"/>
    <mergeCell ref="F166:F167"/>
    <mergeCell ref="E159:E160"/>
    <mergeCell ref="G159:G160"/>
    <mergeCell ref="I164:J164"/>
    <mergeCell ref="J156:J157"/>
    <mergeCell ref="C166:C167"/>
    <mergeCell ref="D166:D167"/>
    <mergeCell ref="I172:J172"/>
    <mergeCell ref="S169:S170"/>
    <mergeCell ref="T169:T170"/>
    <mergeCell ref="A149:A150"/>
    <mergeCell ref="D149:D150"/>
    <mergeCell ref="AL115:AL116"/>
    <mergeCell ref="AM115:AM116"/>
    <mergeCell ref="AL109:AL110"/>
    <mergeCell ref="M165:S165"/>
    <mergeCell ref="O169:P170"/>
    <mergeCell ref="AO164:AP164"/>
    <mergeCell ref="M169:M170"/>
    <mergeCell ref="U169:U170"/>
    <mergeCell ref="K177:Q177"/>
    <mergeCell ref="L176:R176"/>
    <mergeCell ref="K172:L172"/>
    <mergeCell ref="W154:Z154"/>
    <mergeCell ref="AF159:AF160"/>
    <mergeCell ref="AP191:AR191"/>
    <mergeCell ref="AQ164:AR164"/>
    <mergeCell ref="K152:L152"/>
    <mergeCell ref="T149:T150"/>
    <mergeCell ref="U149:U150"/>
    <mergeCell ref="R149:R150"/>
    <mergeCell ref="O149:P150"/>
    <mergeCell ref="S149:S150"/>
    <mergeCell ref="N149:N150"/>
    <mergeCell ref="S166:S167"/>
    <mergeCell ref="V169:V170"/>
    <mergeCell ref="V159:V160"/>
    <mergeCell ref="AF169:AF170"/>
    <mergeCell ref="O119:P120"/>
    <mergeCell ref="AF136:AF137"/>
    <mergeCell ref="AF146:AF147"/>
    <mergeCell ref="AP133:AR133"/>
    <mergeCell ref="CD94:CH94"/>
    <mergeCell ref="BD103:BG103"/>
    <mergeCell ref="BD123:BG123"/>
    <mergeCell ref="BN164:BO164"/>
    <mergeCell ref="BP164:BQ164"/>
    <mergeCell ref="BI164:BJ164"/>
    <mergeCell ref="BN154:BO154"/>
    <mergeCell ref="BP104:BQ104"/>
    <mergeCell ref="BN104:BO104"/>
    <mergeCell ref="BN142:BO142"/>
    <mergeCell ref="BP134:BQ134"/>
    <mergeCell ref="BP154:BQ154"/>
    <mergeCell ref="BP114:BQ114"/>
    <mergeCell ref="BF164:BG164"/>
    <mergeCell ref="BN132:BO132"/>
    <mergeCell ref="BD133:BG133"/>
    <mergeCell ref="BF154:BG154"/>
    <mergeCell ref="BJ153:BL153"/>
    <mergeCell ref="BI162:BJ162"/>
    <mergeCell ref="BD163:BG163"/>
    <mergeCell ref="BI134:BJ134"/>
    <mergeCell ref="BN144:BO144"/>
    <mergeCell ref="BP144:BQ144"/>
    <mergeCell ref="BD144:BE144"/>
    <mergeCell ref="BD164:BE164"/>
    <mergeCell ref="BD142:BE142"/>
    <mergeCell ref="BI124:BJ124"/>
    <mergeCell ref="BN162:BO162"/>
    <mergeCell ref="BN134:BO134"/>
    <mergeCell ref="BJ143:BL143"/>
    <mergeCell ref="BJ133:BL133"/>
    <mergeCell ref="BN124:BO124"/>
    <mergeCell ref="R255:R256"/>
    <mergeCell ref="R248:R249"/>
    <mergeCell ref="U248:U249"/>
    <mergeCell ref="V248:V249"/>
    <mergeCell ref="K241:L241"/>
    <mergeCell ref="M225:M226"/>
    <mergeCell ref="N225:N226"/>
    <mergeCell ref="K266:Q266"/>
    <mergeCell ref="E169:E170"/>
    <mergeCell ref="M166:M167"/>
    <mergeCell ref="N166:N167"/>
    <mergeCell ref="P166:Q167"/>
    <mergeCell ref="R166:R167"/>
    <mergeCell ref="N159:N160"/>
    <mergeCell ref="T159:T160"/>
    <mergeCell ref="Q159:Q160"/>
    <mergeCell ref="Q169:Q170"/>
    <mergeCell ref="N169:N170"/>
    <mergeCell ref="R169:R170"/>
    <mergeCell ref="G166:G167"/>
    <mergeCell ref="M159:M160"/>
    <mergeCell ref="O159:P160"/>
    <mergeCell ref="S159:S160"/>
    <mergeCell ref="F162:G162"/>
    <mergeCell ref="H176:K176"/>
    <mergeCell ref="I211:J211"/>
    <mergeCell ref="I201:J201"/>
    <mergeCell ref="J208:J209"/>
    <mergeCell ref="J205:J206"/>
    <mergeCell ref="J198:J199"/>
    <mergeCell ref="I166:I167"/>
    <mergeCell ref="J166:J167"/>
    <mergeCell ref="A215:A216"/>
    <mergeCell ref="B215:B216"/>
    <mergeCell ref="C215:C216"/>
    <mergeCell ref="D215:D216"/>
    <mergeCell ref="I215:I216"/>
    <mergeCell ref="M215:M216"/>
    <mergeCell ref="G208:G209"/>
    <mergeCell ref="A205:A206"/>
    <mergeCell ref="B205:B206"/>
    <mergeCell ref="C205:C206"/>
    <mergeCell ref="H208:H209"/>
    <mergeCell ref="D159:D160"/>
    <mergeCell ref="W278:X278"/>
    <mergeCell ref="I251:J251"/>
    <mergeCell ref="K221:L221"/>
    <mergeCell ref="F251:G251"/>
    <mergeCell ref="F221:G221"/>
    <mergeCell ref="H248:H249"/>
    <mergeCell ref="I231:J231"/>
    <mergeCell ref="K231:L231"/>
    <mergeCell ref="J245:J246"/>
    <mergeCell ref="F225:F226"/>
    <mergeCell ref="G225:G226"/>
    <mergeCell ref="N235:N236"/>
    <mergeCell ref="P235:Q236"/>
    <mergeCell ref="R235:R236"/>
    <mergeCell ref="I198:I199"/>
    <mergeCell ref="F233:H233"/>
    <mergeCell ref="S258:S259"/>
    <mergeCell ref="T258:T259"/>
    <mergeCell ref="U258:U259"/>
    <mergeCell ref="N258:N259"/>
    <mergeCell ref="A198:A199"/>
    <mergeCell ref="D198:D199"/>
    <mergeCell ref="B193:D193"/>
    <mergeCell ref="A195:A196"/>
    <mergeCell ref="B195:B196"/>
    <mergeCell ref="R159:R160"/>
    <mergeCell ref="K164:S164"/>
    <mergeCell ref="I159:I160"/>
    <mergeCell ref="I162:J162"/>
    <mergeCell ref="H159:H160"/>
    <mergeCell ref="A176:D176"/>
    <mergeCell ref="Y278:Z278"/>
    <mergeCell ref="Z208:Z209"/>
    <mergeCell ref="W203:Z203"/>
    <mergeCell ref="W213:Z213"/>
    <mergeCell ref="Z258:Z259"/>
    <mergeCell ref="W270:X270"/>
    <mergeCell ref="Z228:Z229"/>
    <mergeCell ref="U228:U229"/>
    <mergeCell ref="W164:Z164"/>
    <mergeCell ref="Y189:Z189"/>
    <mergeCell ref="Y159:Y160"/>
    <mergeCell ref="Z159:Z160"/>
    <mergeCell ref="Y218:Y219"/>
    <mergeCell ref="W189:X189"/>
    <mergeCell ref="U164:V164"/>
    <mergeCell ref="Y187:Y188"/>
    <mergeCell ref="Z187:Z188"/>
    <mergeCell ref="U159:U160"/>
    <mergeCell ref="T192:Z192"/>
    <mergeCell ref="Z169:Z170"/>
    <mergeCell ref="Y208:Y209"/>
    <mergeCell ref="Z238:Z239"/>
    <mergeCell ref="V208:V209"/>
    <mergeCell ref="U198:U199"/>
    <mergeCell ref="K162:L162"/>
    <mergeCell ref="P156:Q157"/>
    <mergeCell ref="AJ192:AM193"/>
    <mergeCell ref="AF149:AF150"/>
    <mergeCell ref="Z198:Z199"/>
    <mergeCell ref="U200:Y200"/>
    <mergeCell ref="AQ154:AR154"/>
    <mergeCell ref="AT202:AW202"/>
    <mergeCell ref="AO203:AP203"/>
    <mergeCell ref="V198:V199"/>
    <mergeCell ref="AL198:AL199"/>
    <mergeCell ref="AM198:AM199"/>
    <mergeCell ref="AT203:AU203"/>
    <mergeCell ref="U154:V154"/>
    <mergeCell ref="V149:V150"/>
    <mergeCell ref="K154:S154"/>
    <mergeCell ref="W193:Z193"/>
    <mergeCell ref="M155:S155"/>
    <mergeCell ref="Y149:Y150"/>
    <mergeCell ref="Z149:Z150"/>
    <mergeCell ref="AG182:AG183"/>
    <mergeCell ref="AO154:AP154"/>
    <mergeCell ref="AF156:AF157"/>
    <mergeCell ref="Y169:Y170"/>
    <mergeCell ref="R156:R157"/>
    <mergeCell ref="S156:S157"/>
    <mergeCell ref="AT211:AU211"/>
    <mergeCell ref="AT193:AU193"/>
    <mergeCell ref="AT212:AW212"/>
    <mergeCell ref="AT251:AU251"/>
    <mergeCell ref="AT252:AW252"/>
    <mergeCell ref="K251:L251"/>
    <mergeCell ref="AO243:AP243"/>
    <mergeCell ref="AQ243:AR243"/>
    <mergeCell ref="C195:C196"/>
    <mergeCell ref="D195:D196"/>
    <mergeCell ref="B154:D154"/>
    <mergeCell ref="F154:H154"/>
    <mergeCell ref="I154:J154"/>
    <mergeCell ref="B164:D164"/>
    <mergeCell ref="F164:H164"/>
    <mergeCell ref="B156:B157"/>
    <mergeCell ref="C156:C157"/>
    <mergeCell ref="D156:D157"/>
    <mergeCell ref="E156:E157"/>
    <mergeCell ref="F156:F157"/>
    <mergeCell ref="C189:C190"/>
    <mergeCell ref="C186:C187"/>
    <mergeCell ref="I156:I157"/>
    <mergeCell ref="J228:J229"/>
    <mergeCell ref="I233:J233"/>
    <mergeCell ref="J235:J236"/>
    <mergeCell ref="I225:I226"/>
    <mergeCell ref="J225:J226"/>
    <mergeCell ref="K211:L211"/>
    <mergeCell ref="AG184:AG185"/>
    <mergeCell ref="X179:Z179"/>
    <mergeCell ref="W181:Z182"/>
    <mergeCell ref="O208:P209"/>
    <mergeCell ref="N208:N209"/>
    <mergeCell ref="Q208:Q209"/>
    <mergeCell ref="G149:G150"/>
    <mergeCell ref="I152:J152"/>
    <mergeCell ref="H149:H150"/>
    <mergeCell ref="I149:I150"/>
    <mergeCell ref="A186:B187"/>
    <mergeCell ref="D189:D190"/>
    <mergeCell ref="D186:D187"/>
    <mergeCell ref="I193:J193"/>
    <mergeCell ref="I195:I196"/>
    <mergeCell ref="A179:W179"/>
    <mergeCell ref="M186:M187"/>
    <mergeCell ref="A180:C180"/>
    <mergeCell ref="H189:H190"/>
    <mergeCell ref="F193:H193"/>
    <mergeCell ref="D180:F180"/>
    <mergeCell ref="E183:F183"/>
    <mergeCell ref="A184:V184"/>
    <mergeCell ref="J186:J187"/>
    <mergeCell ref="P195:Q196"/>
    <mergeCell ref="M194:S194"/>
    <mergeCell ref="M149:M150"/>
    <mergeCell ref="Q149:Q150"/>
    <mergeCell ref="A159:A160"/>
    <mergeCell ref="G156:G157"/>
    <mergeCell ref="H186:H187"/>
    <mergeCell ref="J159:J160"/>
    <mergeCell ref="A156:A157"/>
    <mergeCell ref="A166:A167"/>
    <mergeCell ref="B166:B167"/>
    <mergeCell ref="E149:E150"/>
    <mergeCell ref="E146:E147"/>
    <mergeCell ref="A146:A147"/>
    <mergeCell ref="B146:B147"/>
    <mergeCell ref="C146:C147"/>
    <mergeCell ref="D146:D147"/>
    <mergeCell ref="U139:U140"/>
    <mergeCell ref="F142:G142"/>
    <mergeCell ref="I142:J142"/>
    <mergeCell ref="K142:L142"/>
    <mergeCell ref="N139:N140"/>
    <mergeCell ref="I139:I140"/>
    <mergeCell ref="AP143:AR143"/>
    <mergeCell ref="G146:G147"/>
    <mergeCell ref="M146:M147"/>
    <mergeCell ref="I146:I147"/>
    <mergeCell ref="M145:S145"/>
    <mergeCell ref="S146:S147"/>
    <mergeCell ref="R146:R147"/>
    <mergeCell ref="N146:N147"/>
    <mergeCell ref="J146:J147"/>
    <mergeCell ref="P146:Q147"/>
    <mergeCell ref="Y139:Y140"/>
    <mergeCell ref="Z139:Z140"/>
    <mergeCell ref="V139:V140"/>
    <mergeCell ref="U144:V144"/>
    <mergeCell ref="W144:Z144"/>
    <mergeCell ref="M139:M140"/>
    <mergeCell ref="S139:S140"/>
    <mergeCell ref="Q139:Q140"/>
    <mergeCell ref="R139:R140"/>
    <mergeCell ref="T139:T140"/>
    <mergeCell ref="B144:D144"/>
    <mergeCell ref="F144:H144"/>
    <mergeCell ref="I144:J144"/>
    <mergeCell ref="K144:S144"/>
    <mergeCell ref="E139:E140"/>
    <mergeCell ref="G139:G140"/>
    <mergeCell ref="O139:P140"/>
    <mergeCell ref="H139:H140"/>
    <mergeCell ref="S136:S137"/>
    <mergeCell ref="I136:I137"/>
    <mergeCell ref="N136:N137"/>
    <mergeCell ref="P136:Q137"/>
    <mergeCell ref="R136:R137"/>
    <mergeCell ref="J136:J137"/>
    <mergeCell ref="M136:M137"/>
    <mergeCell ref="E136:E137"/>
    <mergeCell ref="F136:F137"/>
    <mergeCell ref="J139:J140"/>
    <mergeCell ref="G136:G137"/>
    <mergeCell ref="A136:A137"/>
    <mergeCell ref="B136:B137"/>
    <mergeCell ref="C136:C137"/>
    <mergeCell ref="D136:D137"/>
    <mergeCell ref="A139:A140"/>
    <mergeCell ref="D139:D140"/>
    <mergeCell ref="M135:S135"/>
    <mergeCell ref="Y129:Y130"/>
    <mergeCell ref="Z129:Z130"/>
    <mergeCell ref="U134:V134"/>
    <mergeCell ref="W134:Z134"/>
    <mergeCell ref="M129:M130"/>
    <mergeCell ref="V129:V130"/>
    <mergeCell ref="T129:T130"/>
    <mergeCell ref="U129:U130"/>
    <mergeCell ref="S129:S130"/>
    <mergeCell ref="AO132:AR132"/>
    <mergeCell ref="K132:L132"/>
    <mergeCell ref="B134:D134"/>
    <mergeCell ref="F134:H134"/>
    <mergeCell ref="I134:J134"/>
    <mergeCell ref="K134:S134"/>
    <mergeCell ref="F132:G132"/>
    <mergeCell ref="I132:J132"/>
    <mergeCell ref="N129:N130"/>
    <mergeCell ref="O129:P130"/>
    <mergeCell ref="Q129:Q130"/>
    <mergeCell ref="R129:R130"/>
    <mergeCell ref="J129:J130"/>
    <mergeCell ref="A129:A130"/>
    <mergeCell ref="D129:D130"/>
    <mergeCell ref="E129:E130"/>
    <mergeCell ref="G129:G130"/>
    <mergeCell ref="H129:H130"/>
    <mergeCell ref="I129:I130"/>
    <mergeCell ref="M125:S125"/>
    <mergeCell ref="G126:G127"/>
    <mergeCell ref="I126:I127"/>
    <mergeCell ref="J126:J127"/>
    <mergeCell ref="A126:A127"/>
    <mergeCell ref="B126:B127"/>
    <mergeCell ref="C126:C127"/>
    <mergeCell ref="D126:D127"/>
    <mergeCell ref="E126:E127"/>
    <mergeCell ref="F126:F127"/>
    <mergeCell ref="S126:S127"/>
    <mergeCell ref="R126:R127"/>
    <mergeCell ref="AF126:AF127"/>
    <mergeCell ref="U124:V124"/>
    <mergeCell ref="B124:D124"/>
    <mergeCell ref="F124:H124"/>
    <mergeCell ref="I124:J124"/>
    <mergeCell ref="K124:S124"/>
    <mergeCell ref="N126:N127"/>
    <mergeCell ref="P126:Q127"/>
    <mergeCell ref="M126:M127"/>
    <mergeCell ref="J119:J120"/>
    <mergeCell ref="E116:E117"/>
    <mergeCell ref="M116:M117"/>
    <mergeCell ref="N116:N117"/>
    <mergeCell ref="A116:A117"/>
    <mergeCell ref="B116:B117"/>
    <mergeCell ref="C116:C117"/>
    <mergeCell ref="W124:Z124"/>
    <mergeCell ref="F122:G122"/>
    <mergeCell ref="I122:J122"/>
    <mergeCell ref="K122:L122"/>
    <mergeCell ref="S119:S120"/>
    <mergeCell ref="R119:R120"/>
    <mergeCell ref="Q119:Q120"/>
    <mergeCell ref="A119:A120"/>
    <mergeCell ref="D119:D120"/>
    <mergeCell ref="E119:E120"/>
    <mergeCell ref="G119:G120"/>
    <mergeCell ref="H119:H120"/>
    <mergeCell ref="I119:I120"/>
    <mergeCell ref="M119:M120"/>
    <mergeCell ref="N119:N120"/>
    <mergeCell ref="Y119:Y120"/>
    <mergeCell ref="D116:D117"/>
    <mergeCell ref="T119:T120"/>
    <mergeCell ref="V119:V120"/>
    <mergeCell ref="I104:J104"/>
    <mergeCell ref="K104:S104"/>
    <mergeCell ref="I106:I107"/>
    <mergeCell ref="J109:J110"/>
    <mergeCell ref="M109:M110"/>
    <mergeCell ref="I109:I110"/>
    <mergeCell ref="J106:J107"/>
    <mergeCell ref="K114:S114"/>
    <mergeCell ref="F116:F117"/>
    <mergeCell ref="G116:G117"/>
    <mergeCell ref="J116:J117"/>
    <mergeCell ref="P116:Q117"/>
    <mergeCell ref="B114:D114"/>
    <mergeCell ref="F114:H114"/>
    <mergeCell ref="I114:J114"/>
    <mergeCell ref="M106:M107"/>
    <mergeCell ref="N106:N107"/>
    <mergeCell ref="M115:S115"/>
    <mergeCell ref="I116:I117"/>
    <mergeCell ref="A87:D87"/>
    <mergeCell ref="A97:B98"/>
    <mergeCell ref="C97:C98"/>
    <mergeCell ref="D97:D98"/>
    <mergeCell ref="E97:G98"/>
    <mergeCell ref="A90:W90"/>
    <mergeCell ref="D91:F91"/>
    <mergeCell ref="A91:C91"/>
    <mergeCell ref="E106:E107"/>
    <mergeCell ref="E100:G101"/>
    <mergeCell ref="M100:M101"/>
    <mergeCell ref="AF106:AF107"/>
    <mergeCell ref="S106:S107"/>
    <mergeCell ref="N109:N110"/>
    <mergeCell ref="V109:V110"/>
    <mergeCell ref="Y109:Y110"/>
    <mergeCell ref="U109:U110"/>
    <mergeCell ref="R109:R110"/>
    <mergeCell ref="R106:R107"/>
    <mergeCell ref="P106:Q107"/>
    <mergeCell ref="J97:J98"/>
    <mergeCell ref="M97:M98"/>
    <mergeCell ref="Y98:Y99"/>
    <mergeCell ref="Z98:Z99"/>
    <mergeCell ref="W92:Z93"/>
    <mergeCell ref="R97:R98"/>
    <mergeCell ref="S97:S98"/>
    <mergeCell ref="H100:H101"/>
    <mergeCell ref="A92:C93"/>
    <mergeCell ref="E94:F94"/>
    <mergeCell ref="N100:N101"/>
    <mergeCell ref="O100:P101"/>
    <mergeCell ref="W55:Z55"/>
    <mergeCell ref="W65:Z65"/>
    <mergeCell ref="I255:I256"/>
    <mergeCell ref="N97:N98"/>
    <mergeCell ref="O97:P98"/>
    <mergeCell ref="Q97:Q98"/>
    <mergeCell ref="N245:N246"/>
    <mergeCell ref="I77:I78"/>
    <mergeCell ref="M56:S56"/>
    <mergeCell ref="P77:Q78"/>
    <mergeCell ref="M255:M256"/>
    <mergeCell ref="P255:Q256"/>
    <mergeCell ref="N255:N256"/>
    <mergeCell ref="N238:N239"/>
    <mergeCell ref="Q238:Q239"/>
    <mergeCell ref="M245:M246"/>
    <mergeCell ref="P245:Q246"/>
    <mergeCell ref="O248:P249"/>
    <mergeCell ref="M248:M249"/>
    <mergeCell ref="M238:M239"/>
    <mergeCell ref="Q248:Q249"/>
    <mergeCell ref="I248:I249"/>
    <mergeCell ref="S235:S236"/>
    <mergeCell ref="W100:X100"/>
    <mergeCell ref="Y100:Z100"/>
    <mergeCell ref="I83:J83"/>
    <mergeCell ref="R116:R117"/>
    <mergeCell ref="S116:S117"/>
    <mergeCell ref="I238:I239"/>
    <mergeCell ref="I235:I236"/>
    <mergeCell ref="I221:J221"/>
    <mergeCell ref="I228:I229"/>
    <mergeCell ref="W11:X11"/>
    <mergeCell ref="Y11:Z11"/>
    <mergeCell ref="Z80:Z81"/>
    <mergeCell ref="Y30:Y31"/>
    <mergeCell ref="Y20:Y21"/>
    <mergeCell ref="Z20:Z21"/>
    <mergeCell ref="Y80:Y81"/>
    <mergeCell ref="Z30:Z31"/>
    <mergeCell ref="Y40:Y41"/>
    <mergeCell ref="W75:Z75"/>
    <mergeCell ref="S255:S256"/>
    <mergeCell ref="Z60:Z61"/>
    <mergeCell ref="Y60:Y61"/>
    <mergeCell ref="Y70:Y71"/>
    <mergeCell ref="X90:Z90"/>
    <mergeCell ref="W104:Z104"/>
    <mergeCell ref="U104:V104"/>
    <mergeCell ref="T103:Z103"/>
    <mergeCell ref="M105:S105"/>
    <mergeCell ref="U111:Y111"/>
    <mergeCell ref="S47:S48"/>
    <mergeCell ref="N47:N48"/>
    <mergeCell ref="K88:Q88"/>
    <mergeCell ref="K53:L53"/>
    <mergeCell ref="P47:Q48"/>
    <mergeCell ref="O70:P71"/>
    <mergeCell ref="M60:M61"/>
    <mergeCell ref="M57:M58"/>
    <mergeCell ref="H87:K87"/>
    <mergeCell ref="H80:H81"/>
    <mergeCell ref="I245:I246"/>
    <mergeCell ref="F104:H104"/>
    <mergeCell ref="A106:A107"/>
    <mergeCell ref="J149:J150"/>
    <mergeCell ref="F146:F147"/>
    <mergeCell ref="F152:G152"/>
    <mergeCell ref="B106:B107"/>
    <mergeCell ref="C106:C107"/>
    <mergeCell ref="D106:D107"/>
    <mergeCell ref="A100:B101"/>
    <mergeCell ref="C100:C101"/>
    <mergeCell ref="D100:D101"/>
    <mergeCell ref="B104:D104"/>
    <mergeCell ref="Q100:Q101"/>
    <mergeCell ref="E198:E199"/>
    <mergeCell ref="H198:H199"/>
    <mergeCell ref="E189:G190"/>
    <mergeCell ref="E255:E256"/>
    <mergeCell ref="F195:F196"/>
    <mergeCell ref="G195:G196"/>
    <mergeCell ref="F112:G112"/>
    <mergeCell ref="J238:J239"/>
    <mergeCell ref="N248:N249"/>
    <mergeCell ref="N228:N229"/>
    <mergeCell ref="F231:G231"/>
    <mergeCell ref="H228:H229"/>
    <mergeCell ref="A228:A229"/>
    <mergeCell ref="D228:D229"/>
    <mergeCell ref="E228:E229"/>
    <mergeCell ref="G228:G229"/>
    <mergeCell ref="M228:M229"/>
    <mergeCell ref="A225:A226"/>
    <mergeCell ref="B225:B226"/>
    <mergeCell ref="K111:P111"/>
    <mergeCell ref="J40:J41"/>
    <mergeCell ref="J60:J61"/>
    <mergeCell ref="I45:J45"/>
    <mergeCell ref="F83:G83"/>
    <mergeCell ref="F211:G211"/>
    <mergeCell ref="F201:G201"/>
    <mergeCell ref="F106:F107"/>
    <mergeCell ref="G106:G107"/>
    <mergeCell ref="G198:G199"/>
    <mergeCell ref="F75:H75"/>
    <mergeCell ref="G205:G206"/>
    <mergeCell ref="A95:U95"/>
    <mergeCell ref="N186:N187"/>
    <mergeCell ref="A189:B190"/>
    <mergeCell ref="E205:E206"/>
    <mergeCell ref="I112:J112"/>
    <mergeCell ref="H97:H98"/>
    <mergeCell ref="J100:J101"/>
    <mergeCell ref="E186:G187"/>
    <mergeCell ref="E195:E196"/>
    <mergeCell ref="J195:J196"/>
    <mergeCell ref="J189:J190"/>
    <mergeCell ref="J80:J81"/>
    <mergeCell ref="J57:J58"/>
    <mergeCell ref="I70:I71"/>
    <mergeCell ref="J77:J78"/>
    <mergeCell ref="J67:J68"/>
    <mergeCell ref="J70:J71"/>
    <mergeCell ref="I208:I209"/>
    <mergeCell ref="A208:A209"/>
    <mergeCell ref="D208:D209"/>
    <mergeCell ref="E208:E209"/>
    <mergeCell ref="B253:D253"/>
    <mergeCell ref="F253:H253"/>
    <mergeCell ref="I253:J253"/>
    <mergeCell ref="AQ253:AR253"/>
    <mergeCell ref="W253:Z253"/>
    <mergeCell ref="A265:D265"/>
    <mergeCell ref="H265:K265"/>
    <mergeCell ref="D255:D256"/>
    <mergeCell ref="C255:C256"/>
    <mergeCell ref="A258:A259"/>
    <mergeCell ref="D258:D259"/>
    <mergeCell ref="G255:G256"/>
    <mergeCell ref="A255:A256"/>
    <mergeCell ref="B255:B256"/>
    <mergeCell ref="J255:J256"/>
    <mergeCell ref="B243:D243"/>
    <mergeCell ref="F243:H243"/>
    <mergeCell ref="I243:J243"/>
    <mergeCell ref="A248:A249"/>
    <mergeCell ref="D248:D249"/>
    <mergeCell ref="E248:E249"/>
    <mergeCell ref="G248:G249"/>
    <mergeCell ref="A245:A246"/>
    <mergeCell ref="B245:B246"/>
    <mergeCell ref="J248:J249"/>
    <mergeCell ref="E258:E259"/>
    <mergeCell ref="G258:G259"/>
    <mergeCell ref="H258:H259"/>
    <mergeCell ref="I258:I259"/>
    <mergeCell ref="F255:F256"/>
    <mergeCell ref="F261:G261"/>
    <mergeCell ref="I261:J261"/>
    <mergeCell ref="AZ242:BB242"/>
    <mergeCell ref="AY241:AZ241"/>
    <mergeCell ref="AT241:AU241"/>
    <mergeCell ref="AP241:AR241"/>
    <mergeCell ref="R238:R239"/>
    <mergeCell ref="O238:P239"/>
    <mergeCell ref="F241:G241"/>
    <mergeCell ref="I241:J241"/>
    <mergeCell ref="K243:S243"/>
    <mergeCell ref="M258:M259"/>
    <mergeCell ref="K261:L261"/>
    <mergeCell ref="BP253:BQ253"/>
    <mergeCell ref="M254:S254"/>
    <mergeCell ref="BA253:BB253"/>
    <mergeCell ref="BD253:BE253"/>
    <mergeCell ref="BF253:BG253"/>
    <mergeCell ref="BI253:BJ253"/>
    <mergeCell ref="U253:V253"/>
    <mergeCell ref="K253:S253"/>
    <mergeCell ref="AY253:AZ253"/>
    <mergeCell ref="AO253:AP253"/>
    <mergeCell ref="BK253:BL253"/>
    <mergeCell ref="BN253:BO253"/>
    <mergeCell ref="AF255:AF256"/>
    <mergeCell ref="J258:J259"/>
    <mergeCell ref="AF258:AF259"/>
    <mergeCell ref="AZ252:BB252"/>
    <mergeCell ref="Y248:Y249"/>
    <mergeCell ref="Z248:Z249"/>
    <mergeCell ref="AF248:AF249"/>
    <mergeCell ref="AT253:AU253"/>
    <mergeCell ref="AV253:AW253"/>
    <mergeCell ref="AP251:AR251"/>
    <mergeCell ref="A238:A239"/>
    <mergeCell ref="D238:D239"/>
    <mergeCell ref="E238:E239"/>
    <mergeCell ref="G238:G239"/>
    <mergeCell ref="E235:E236"/>
    <mergeCell ref="F235:F236"/>
    <mergeCell ref="G235:G236"/>
    <mergeCell ref="B235:B236"/>
    <mergeCell ref="C235:C236"/>
    <mergeCell ref="D235:D236"/>
    <mergeCell ref="H238:H239"/>
    <mergeCell ref="A235:A236"/>
    <mergeCell ref="AY233:AZ233"/>
    <mergeCell ref="AO233:AP233"/>
    <mergeCell ref="BN243:BO243"/>
    <mergeCell ref="U243:V243"/>
    <mergeCell ref="AY243:AZ243"/>
    <mergeCell ref="AV243:AW243"/>
    <mergeCell ref="AT243:AU243"/>
    <mergeCell ref="W243:Z243"/>
    <mergeCell ref="B233:D233"/>
    <mergeCell ref="M235:M236"/>
    <mergeCell ref="BI243:BJ243"/>
    <mergeCell ref="C245:C246"/>
    <mergeCell ref="D245:D246"/>
    <mergeCell ref="M244:S244"/>
    <mergeCell ref="BA243:BB243"/>
    <mergeCell ref="AF245:AF246"/>
    <mergeCell ref="F245:F246"/>
    <mergeCell ref="G245:G246"/>
    <mergeCell ref="E245:E246"/>
    <mergeCell ref="BA233:BB233"/>
    <mergeCell ref="BD233:BE233"/>
    <mergeCell ref="BF233:BG233"/>
    <mergeCell ref="AQ233:AR233"/>
    <mergeCell ref="K233:S233"/>
    <mergeCell ref="U233:V233"/>
    <mergeCell ref="AF228:AF229"/>
    <mergeCell ref="BP223:BQ223"/>
    <mergeCell ref="M224:S224"/>
    <mergeCell ref="BA223:BB223"/>
    <mergeCell ref="BD223:BE223"/>
    <mergeCell ref="BF223:BG223"/>
    <mergeCell ref="BI223:BJ223"/>
    <mergeCell ref="K223:S223"/>
    <mergeCell ref="BN223:BO223"/>
    <mergeCell ref="AO223:AP223"/>
    <mergeCell ref="U223:V223"/>
    <mergeCell ref="AP231:AR231"/>
    <mergeCell ref="W233:Z233"/>
    <mergeCell ref="V228:V229"/>
    <mergeCell ref="Y228:Y229"/>
    <mergeCell ref="S228:S229"/>
    <mergeCell ref="AQ223:AR223"/>
    <mergeCell ref="AZ232:BB232"/>
    <mergeCell ref="AT223:AU223"/>
    <mergeCell ref="AT231:AU231"/>
    <mergeCell ref="AT232:AW232"/>
    <mergeCell ref="C225:C226"/>
    <mergeCell ref="D225:D226"/>
    <mergeCell ref="A218:A219"/>
    <mergeCell ref="D218:D219"/>
    <mergeCell ref="B223:D223"/>
    <mergeCell ref="E218:E219"/>
    <mergeCell ref="G218:G219"/>
    <mergeCell ref="F223:H223"/>
    <mergeCell ref="I223:J223"/>
    <mergeCell ref="R218:R219"/>
    <mergeCell ref="S218:S219"/>
    <mergeCell ref="O218:P219"/>
    <mergeCell ref="H218:H219"/>
    <mergeCell ref="M218:M219"/>
    <mergeCell ref="N218:N219"/>
    <mergeCell ref="Q218:Q219"/>
    <mergeCell ref="I218:I219"/>
    <mergeCell ref="J218:J219"/>
    <mergeCell ref="R225:R226"/>
    <mergeCell ref="S225:S226"/>
    <mergeCell ref="P225:Q226"/>
    <mergeCell ref="E225:E226"/>
    <mergeCell ref="BP213:BQ213"/>
    <mergeCell ref="M214:S214"/>
    <mergeCell ref="BA213:BB213"/>
    <mergeCell ref="BD213:BE213"/>
    <mergeCell ref="BF213:BG213"/>
    <mergeCell ref="BI213:BJ213"/>
    <mergeCell ref="U213:V213"/>
    <mergeCell ref="BN213:BO213"/>
    <mergeCell ref="B213:D213"/>
    <mergeCell ref="F213:H213"/>
    <mergeCell ref="I213:J213"/>
    <mergeCell ref="K213:S213"/>
    <mergeCell ref="N215:N216"/>
    <mergeCell ref="P215:Q216"/>
    <mergeCell ref="E215:E216"/>
    <mergeCell ref="F215:F216"/>
    <mergeCell ref="G215:G216"/>
    <mergeCell ref="S215:S216"/>
    <mergeCell ref="AO213:AP213"/>
    <mergeCell ref="AQ213:AR213"/>
    <mergeCell ref="R215:R216"/>
    <mergeCell ref="J215:J216"/>
    <mergeCell ref="BP203:BQ203"/>
    <mergeCell ref="M204:S204"/>
    <mergeCell ref="BA203:BB203"/>
    <mergeCell ref="BD203:BE203"/>
    <mergeCell ref="BF203:BG203"/>
    <mergeCell ref="AQ203:AR203"/>
    <mergeCell ref="U203:V203"/>
    <mergeCell ref="AY203:AZ203"/>
    <mergeCell ref="BK203:BL203"/>
    <mergeCell ref="D205:D206"/>
    <mergeCell ref="B203:D203"/>
    <mergeCell ref="F203:H203"/>
    <mergeCell ref="I203:J203"/>
    <mergeCell ref="K203:S203"/>
    <mergeCell ref="S205:S206"/>
    <mergeCell ref="I205:I206"/>
    <mergeCell ref="R205:R206"/>
    <mergeCell ref="F205:F206"/>
    <mergeCell ref="M205:M206"/>
    <mergeCell ref="AL204:AL205"/>
    <mergeCell ref="AM204:AM205"/>
    <mergeCell ref="AV203:AW203"/>
    <mergeCell ref="AF205:AF206"/>
    <mergeCell ref="N205:N206"/>
    <mergeCell ref="P205:Q206"/>
    <mergeCell ref="BI203:BJ203"/>
    <mergeCell ref="BN203:BO203"/>
    <mergeCell ref="AG93:AG94"/>
    <mergeCell ref="AF129:AF130"/>
    <mergeCell ref="BP193:BQ193"/>
    <mergeCell ref="AY188:BA188"/>
    <mergeCell ref="AT192:AW192"/>
    <mergeCell ref="AT191:AU191"/>
    <mergeCell ref="BB189:BB190"/>
    <mergeCell ref="BA193:BB193"/>
    <mergeCell ref="BD193:BE193"/>
    <mergeCell ref="U193:V193"/>
    <mergeCell ref="K193:S193"/>
    <mergeCell ref="Q189:Q190"/>
    <mergeCell ref="BN193:BO193"/>
    <mergeCell ref="AY193:AZ193"/>
    <mergeCell ref="BI193:BJ193"/>
    <mergeCell ref="R195:R196"/>
    <mergeCell ref="AF195:AF196"/>
    <mergeCell ref="BJ192:BL192"/>
    <mergeCell ref="S186:S187"/>
    <mergeCell ref="Q186:Q187"/>
    <mergeCell ref="R186:R187"/>
    <mergeCell ref="O186:P187"/>
    <mergeCell ref="O189:P190"/>
    <mergeCell ref="M189:M190"/>
    <mergeCell ref="N189:N190"/>
    <mergeCell ref="K112:L112"/>
    <mergeCell ref="U114:V114"/>
    <mergeCell ref="W114:Z114"/>
    <mergeCell ref="Z119:Z120"/>
    <mergeCell ref="U119:U120"/>
    <mergeCell ref="M156:M157"/>
    <mergeCell ref="N156:N157"/>
    <mergeCell ref="AT134:AU134"/>
    <mergeCell ref="AO144:AP144"/>
    <mergeCell ref="AQ144:AR144"/>
    <mergeCell ref="BD134:BE134"/>
    <mergeCell ref="BF124:BG124"/>
    <mergeCell ref="AF139:AF140"/>
    <mergeCell ref="AO112:AR112"/>
    <mergeCell ref="AP113:AR113"/>
    <mergeCell ref="AO104:AP104"/>
    <mergeCell ref="AG95:AG96"/>
    <mergeCell ref="AF116:AF117"/>
    <mergeCell ref="BF144:BG144"/>
    <mergeCell ref="BD143:BG143"/>
    <mergeCell ref="AZ133:BB133"/>
    <mergeCell ref="BF134:BG134"/>
    <mergeCell ref="AY134:AZ134"/>
    <mergeCell ref="AZ143:BB143"/>
    <mergeCell ref="AY142:AZ142"/>
    <mergeCell ref="BA144:BB144"/>
    <mergeCell ref="AY144:AZ144"/>
    <mergeCell ref="AV104:AW104"/>
    <mergeCell ref="AO122:AR122"/>
    <mergeCell ref="AO114:AP114"/>
    <mergeCell ref="AQ114:AR114"/>
    <mergeCell ref="BA134:BB134"/>
    <mergeCell ref="BD114:BE114"/>
    <mergeCell ref="BD124:BE124"/>
    <mergeCell ref="AV134:AW134"/>
    <mergeCell ref="AT133:AW133"/>
    <mergeCell ref="AY132:AZ132"/>
    <mergeCell ref="AM109:AM110"/>
    <mergeCell ref="AT142:AU142"/>
    <mergeCell ref="BP124:BQ124"/>
    <mergeCell ref="BK25:BL25"/>
    <mergeCell ref="AP123:AR123"/>
    <mergeCell ref="AQ124:AR124"/>
    <mergeCell ref="AT124:AU124"/>
    <mergeCell ref="AT65:AU65"/>
    <mergeCell ref="AV65:AW65"/>
    <mergeCell ref="AT44:AW44"/>
    <mergeCell ref="AT43:AU43"/>
    <mergeCell ref="AT74:AW74"/>
    <mergeCell ref="AQ74:AR74"/>
    <mergeCell ref="AY55:AZ55"/>
    <mergeCell ref="AV114:AW114"/>
    <mergeCell ref="AZ113:BB113"/>
    <mergeCell ref="AY112:AZ112"/>
    <mergeCell ref="AZ123:BB123"/>
    <mergeCell ref="AY124:AZ124"/>
    <mergeCell ref="BA124:BB124"/>
    <mergeCell ref="AO102:AR102"/>
    <mergeCell ref="AO73:AP73"/>
    <mergeCell ref="AO74:AP74"/>
    <mergeCell ref="AQ55:AR55"/>
    <mergeCell ref="AQ65:AR65"/>
    <mergeCell ref="AQ75:AR75"/>
    <mergeCell ref="AQ25:AR25"/>
    <mergeCell ref="AY122:AZ122"/>
    <mergeCell ref="AY114:AZ114"/>
    <mergeCell ref="AY99:BA99"/>
    <mergeCell ref="BA65:BB65"/>
    <mergeCell ref="AZ44:BB44"/>
    <mergeCell ref="AY45:AZ45"/>
    <mergeCell ref="M17:M18"/>
    <mergeCell ref="I15:J15"/>
    <mergeCell ref="M30:M31"/>
    <mergeCell ref="K23:L23"/>
    <mergeCell ref="K22:P22"/>
    <mergeCell ref="K25:S25"/>
    <mergeCell ref="V80:V81"/>
    <mergeCell ref="V40:V41"/>
    <mergeCell ref="AF119:AF120"/>
    <mergeCell ref="AO55:AP55"/>
    <mergeCell ref="AP103:AR103"/>
    <mergeCell ref="V60:V61"/>
    <mergeCell ref="Z70:Z71"/>
    <mergeCell ref="U75:V75"/>
    <mergeCell ref="U65:V65"/>
    <mergeCell ref="M80:M81"/>
    <mergeCell ref="AF80:AF81"/>
    <mergeCell ref="S30:S31"/>
    <mergeCell ref="R27:R28"/>
    <mergeCell ref="U22:Y22"/>
    <mergeCell ref="V30:V31"/>
    <mergeCell ref="T30:T31"/>
    <mergeCell ref="S27:S28"/>
    <mergeCell ref="M26:S26"/>
    <mergeCell ref="P27:Q28"/>
    <mergeCell ref="M27:M28"/>
    <mergeCell ref="N27:N28"/>
    <mergeCell ref="O40:P41"/>
    <mergeCell ref="T40:T41"/>
    <mergeCell ref="R40:R41"/>
    <mergeCell ref="U30:U31"/>
    <mergeCell ref="W35:Z35"/>
    <mergeCell ref="J47:J48"/>
    <mergeCell ref="I53:J53"/>
    <mergeCell ref="F45:H45"/>
    <mergeCell ref="AF67:AF68"/>
    <mergeCell ref="AF70:AF71"/>
    <mergeCell ref="AO25:AP25"/>
    <mergeCell ref="AQ34:AR34"/>
    <mergeCell ref="AL26:AL27"/>
    <mergeCell ref="AM26:AM27"/>
    <mergeCell ref="AQ54:AR54"/>
    <mergeCell ref="AF27:AF28"/>
    <mergeCell ref="AF30:AF31"/>
    <mergeCell ref="AF57:AF58"/>
    <mergeCell ref="AO134:AP134"/>
    <mergeCell ref="AO124:AP124"/>
    <mergeCell ref="AV124:AW124"/>
    <mergeCell ref="AT34:AW34"/>
    <mergeCell ref="AT33:AU33"/>
    <mergeCell ref="U50:U51"/>
    <mergeCell ref="N40:N41"/>
    <mergeCell ref="Q40:Q41"/>
    <mergeCell ref="U40:U41"/>
    <mergeCell ref="U45:V45"/>
    <mergeCell ref="AQ45:AR45"/>
    <mergeCell ref="Z40:Z41"/>
    <mergeCell ref="W45:Z45"/>
    <mergeCell ref="AQ44:AR44"/>
    <mergeCell ref="AF40:AF41"/>
    <mergeCell ref="W25:Z25"/>
    <mergeCell ref="AO45:AP45"/>
    <mergeCell ref="AO53:AP53"/>
    <mergeCell ref="AQ134:AR134"/>
    <mergeCell ref="M47:M48"/>
    <mergeCell ref="I73:J73"/>
    <mergeCell ref="Q50:Q51"/>
    <mergeCell ref="R8:R9"/>
    <mergeCell ref="I23:J23"/>
    <mergeCell ref="I25:J25"/>
    <mergeCell ref="A17:A18"/>
    <mergeCell ref="BA75:BB75"/>
    <mergeCell ref="V50:V51"/>
    <mergeCell ref="Y50:Y51"/>
    <mergeCell ref="Z50:Z51"/>
    <mergeCell ref="V70:V71"/>
    <mergeCell ref="AY75:AZ75"/>
    <mergeCell ref="O30:P31"/>
    <mergeCell ref="I27:I28"/>
    <mergeCell ref="N37:N38"/>
    <mergeCell ref="U70:U71"/>
    <mergeCell ref="Q70:Q71"/>
    <mergeCell ref="R70:R71"/>
    <mergeCell ref="S70:S71"/>
    <mergeCell ref="K45:S45"/>
    <mergeCell ref="J30:J31"/>
    <mergeCell ref="I33:J33"/>
    <mergeCell ref="I35:J35"/>
    <mergeCell ref="I30:I31"/>
    <mergeCell ref="U55:V55"/>
    <mergeCell ref="U60:U61"/>
    <mergeCell ref="S40:S41"/>
    <mergeCell ref="AO35:AP35"/>
    <mergeCell ref="I43:J43"/>
    <mergeCell ref="I47:I48"/>
    <mergeCell ref="I55:J55"/>
    <mergeCell ref="S77:S78"/>
    <mergeCell ref="H60:H61"/>
    <mergeCell ref="I57:I58"/>
    <mergeCell ref="S57:S58"/>
    <mergeCell ref="N60:N61"/>
    <mergeCell ref="N57:N58"/>
    <mergeCell ref="M77:M78"/>
    <mergeCell ref="N77:N78"/>
    <mergeCell ref="I65:J65"/>
    <mergeCell ref="I63:J63"/>
    <mergeCell ref="I50:I51"/>
    <mergeCell ref="J50:J51"/>
    <mergeCell ref="M50:M51"/>
    <mergeCell ref="N50:N51"/>
    <mergeCell ref="F67:F68"/>
    <mergeCell ref="G67:G68"/>
    <mergeCell ref="F65:H65"/>
    <mergeCell ref="A47:A48"/>
    <mergeCell ref="B47:B48"/>
    <mergeCell ref="G27:G28"/>
    <mergeCell ref="B17:B18"/>
    <mergeCell ref="C17:C18"/>
    <mergeCell ref="D17:D18"/>
    <mergeCell ref="C27:C28"/>
    <mergeCell ref="D27:D28"/>
    <mergeCell ref="D20:D21"/>
    <mergeCell ref="F23:G23"/>
    <mergeCell ref="R30:R31"/>
    <mergeCell ref="P37:Q38"/>
    <mergeCell ref="K33:L33"/>
    <mergeCell ref="K43:L43"/>
    <mergeCell ref="R37:R38"/>
    <mergeCell ref="N30:N31"/>
    <mergeCell ref="Q30:Q31"/>
    <mergeCell ref="M40:M41"/>
    <mergeCell ref="M36:S36"/>
    <mergeCell ref="K35:S35"/>
    <mergeCell ref="S37:S38"/>
    <mergeCell ref="I40:I41"/>
    <mergeCell ref="M37:M38"/>
    <mergeCell ref="R47:R48"/>
    <mergeCell ref="I37:I38"/>
    <mergeCell ref="J37:J38"/>
    <mergeCell ref="E17:E18"/>
    <mergeCell ref="F37:F38"/>
    <mergeCell ref="E30:E31"/>
    <mergeCell ref="E37:E38"/>
    <mergeCell ref="F33:G33"/>
    <mergeCell ref="G37:G38"/>
    <mergeCell ref="C57:C58"/>
    <mergeCell ref="B25:D25"/>
    <mergeCell ref="C37:C38"/>
    <mergeCell ref="B45:D45"/>
    <mergeCell ref="D30:D31"/>
    <mergeCell ref="F25:H25"/>
    <mergeCell ref="G30:G31"/>
    <mergeCell ref="E40:E41"/>
    <mergeCell ref="D40:D41"/>
    <mergeCell ref="G47:G48"/>
    <mergeCell ref="D60:D61"/>
    <mergeCell ref="D57:D58"/>
    <mergeCell ref="F57:F58"/>
    <mergeCell ref="E57:E58"/>
    <mergeCell ref="H40:H41"/>
    <mergeCell ref="G40:G41"/>
    <mergeCell ref="H50:H51"/>
    <mergeCell ref="G50:G51"/>
    <mergeCell ref="G57:G58"/>
    <mergeCell ref="E60:E61"/>
    <mergeCell ref="G60:G61"/>
    <mergeCell ref="F43:G43"/>
    <mergeCell ref="F53:G53"/>
    <mergeCell ref="F55:H55"/>
    <mergeCell ref="E27:E28"/>
    <mergeCell ref="F27:F28"/>
    <mergeCell ref="F47:F48"/>
    <mergeCell ref="A57:A58"/>
    <mergeCell ref="B57:B58"/>
    <mergeCell ref="A70:A71"/>
    <mergeCell ref="C67:C68"/>
    <mergeCell ref="A27:A28"/>
    <mergeCell ref="B27:B28"/>
    <mergeCell ref="A37:A38"/>
    <mergeCell ref="B37:B38"/>
    <mergeCell ref="B35:D35"/>
    <mergeCell ref="D37:D38"/>
    <mergeCell ref="A40:A41"/>
    <mergeCell ref="A30:A31"/>
    <mergeCell ref="C47:C48"/>
    <mergeCell ref="E47:E48"/>
    <mergeCell ref="D47:D48"/>
    <mergeCell ref="F73:G73"/>
    <mergeCell ref="F77:F78"/>
    <mergeCell ref="F63:G63"/>
    <mergeCell ref="G77:G78"/>
    <mergeCell ref="D77:D78"/>
    <mergeCell ref="B65:D65"/>
    <mergeCell ref="E77:E78"/>
    <mergeCell ref="B75:D75"/>
    <mergeCell ref="D70:D71"/>
    <mergeCell ref="E70:E71"/>
    <mergeCell ref="B67:B68"/>
    <mergeCell ref="D67:D68"/>
    <mergeCell ref="E67:E68"/>
    <mergeCell ref="A50:A51"/>
    <mergeCell ref="B55:D55"/>
    <mergeCell ref="E50:E51"/>
    <mergeCell ref="D50:D51"/>
    <mergeCell ref="E80:E81"/>
    <mergeCell ref="C77:C78"/>
    <mergeCell ref="A67:A68"/>
    <mergeCell ref="A77:A78"/>
    <mergeCell ref="B77:B78"/>
    <mergeCell ref="G80:G81"/>
    <mergeCell ref="A60:A61"/>
    <mergeCell ref="U80:U81"/>
    <mergeCell ref="S67:S68"/>
    <mergeCell ref="I80:I81"/>
    <mergeCell ref="R67:R68"/>
    <mergeCell ref="I75:J75"/>
    <mergeCell ref="I67:I68"/>
    <mergeCell ref="K83:L83"/>
    <mergeCell ref="P57:Q58"/>
    <mergeCell ref="P67:Q68"/>
    <mergeCell ref="M76:S76"/>
    <mergeCell ref="K75:S75"/>
    <mergeCell ref="N67:N68"/>
    <mergeCell ref="M66:S66"/>
    <mergeCell ref="R57:R58"/>
    <mergeCell ref="Q80:Q81"/>
    <mergeCell ref="O80:P81"/>
    <mergeCell ref="K73:L73"/>
    <mergeCell ref="N70:N71"/>
    <mergeCell ref="M70:M71"/>
    <mergeCell ref="O60:P61"/>
    <mergeCell ref="K63:L63"/>
    <mergeCell ref="M67:M68"/>
    <mergeCell ref="K65:S65"/>
    <mergeCell ref="H70:H71"/>
    <mergeCell ref="G70:G71"/>
    <mergeCell ref="CD5:CH5"/>
    <mergeCell ref="O20:P21"/>
    <mergeCell ref="O8:P9"/>
    <mergeCell ref="Y9:Y10"/>
    <mergeCell ref="Z9:Z10"/>
    <mergeCell ref="S17:S18"/>
    <mergeCell ref="AH11:AH12"/>
    <mergeCell ref="Q20:Q21"/>
    <mergeCell ref="AT13:AU13"/>
    <mergeCell ref="BN15:BO15"/>
    <mergeCell ref="BP15:BQ15"/>
    <mergeCell ref="A1:W1"/>
    <mergeCell ref="M8:M9"/>
    <mergeCell ref="A2:C2"/>
    <mergeCell ref="AO15:AP15"/>
    <mergeCell ref="AQ15:AR15"/>
    <mergeCell ref="AT15:AU15"/>
    <mergeCell ref="AV15:AW15"/>
    <mergeCell ref="A8:B9"/>
    <mergeCell ref="AX1:BV3"/>
    <mergeCell ref="W3:Z4"/>
    <mergeCell ref="X1:Z1"/>
    <mergeCell ref="AO11:AR12"/>
    <mergeCell ref="AL20:AL21"/>
    <mergeCell ref="AM20:AM21"/>
    <mergeCell ref="AF17:AF18"/>
    <mergeCell ref="AF20:AF21"/>
    <mergeCell ref="AG4:AG5"/>
    <mergeCell ref="AG6:AG7"/>
    <mergeCell ref="AO13:AP13"/>
    <mergeCell ref="A20:A21"/>
    <mergeCell ref="J8:J9"/>
    <mergeCell ref="E20:E21"/>
    <mergeCell ref="N20:N21"/>
    <mergeCell ref="M20:M21"/>
    <mergeCell ref="R77:R78"/>
    <mergeCell ref="R80:R81"/>
    <mergeCell ref="D2:F2"/>
    <mergeCell ref="A11:B12"/>
    <mergeCell ref="D11:D12"/>
    <mergeCell ref="H11:H12"/>
    <mergeCell ref="D8:D9"/>
    <mergeCell ref="A6:U6"/>
    <mergeCell ref="O11:P12"/>
    <mergeCell ref="Q11:Q12"/>
    <mergeCell ref="T60:T61"/>
    <mergeCell ref="T70:T71"/>
    <mergeCell ref="M16:S16"/>
    <mergeCell ref="I60:I61"/>
    <mergeCell ref="C11:C12"/>
    <mergeCell ref="Q60:Q61"/>
    <mergeCell ref="T20:T21"/>
    <mergeCell ref="K55:S55"/>
    <mergeCell ref="R50:R51"/>
    <mergeCell ref="R60:R61"/>
    <mergeCell ref="Q8:Q9"/>
    <mergeCell ref="N8:N9"/>
    <mergeCell ref="C8:C9"/>
    <mergeCell ref="E8:G9"/>
    <mergeCell ref="S60:S61"/>
    <mergeCell ref="A80:A81"/>
    <mergeCell ref="D80:D81"/>
    <mergeCell ref="G17:G18"/>
    <mergeCell ref="S50:S51"/>
    <mergeCell ref="J11:J12"/>
    <mergeCell ref="S8:S9"/>
    <mergeCell ref="H8:H9"/>
    <mergeCell ref="O50:P51"/>
    <mergeCell ref="I20:I21"/>
    <mergeCell ref="F17:F18"/>
    <mergeCell ref="J17:J18"/>
    <mergeCell ref="N17:N18"/>
    <mergeCell ref="S20:S21"/>
    <mergeCell ref="R20:R21"/>
    <mergeCell ref="R17:R18"/>
    <mergeCell ref="P17:Q18"/>
    <mergeCell ref="V218:V219"/>
    <mergeCell ref="T208:T209"/>
    <mergeCell ref="U208:U209"/>
    <mergeCell ref="S195:S196"/>
    <mergeCell ref="T218:T219"/>
    <mergeCell ref="T198:T199"/>
    <mergeCell ref="S198:S199"/>
    <mergeCell ref="N80:N81"/>
    <mergeCell ref="G20:G21"/>
    <mergeCell ref="F15:H15"/>
    <mergeCell ref="I17:I18"/>
    <mergeCell ref="J20:J21"/>
    <mergeCell ref="J27:J28"/>
    <mergeCell ref="H20:H21"/>
    <mergeCell ref="F35:H35"/>
    <mergeCell ref="H30:H31"/>
    <mergeCell ref="M46:S46"/>
    <mergeCell ref="T50:T51"/>
    <mergeCell ref="L87:R87"/>
    <mergeCell ref="T80:T81"/>
    <mergeCell ref="L265:R265"/>
    <mergeCell ref="V258:V259"/>
    <mergeCell ref="N198:N199"/>
    <mergeCell ref="Q198:Q199"/>
    <mergeCell ref="R198:R199"/>
    <mergeCell ref="O198:P199"/>
    <mergeCell ref="K200:P200"/>
    <mergeCell ref="M198:M199"/>
    <mergeCell ref="AF198:AF199"/>
    <mergeCell ref="Q228:Q229"/>
    <mergeCell ref="R228:R229"/>
    <mergeCell ref="O228:P229"/>
    <mergeCell ref="S245:S246"/>
    <mergeCell ref="R245:R246"/>
    <mergeCell ref="AF218:AF219"/>
    <mergeCell ref="AF208:AF209"/>
    <mergeCell ref="M234:S234"/>
    <mergeCell ref="AF238:AF239"/>
    <mergeCell ref="S238:S239"/>
    <mergeCell ref="Y238:Y239"/>
    <mergeCell ref="U238:U239"/>
    <mergeCell ref="V238:V239"/>
    <mergeCell ref="T238:T239"/>
    <mergeCell ref="M208:M209"/>
    <mergeCell ref="S208:S209"/>
    <mergeCell ref="R208:R209"/>
    <mergeCell ref="S248:S249"/>
    <mergeCell ref="T248:T249"/>
    <mergeCell ref="K201:L201"/>
    <mergeCell ref="Q258:Q259"/>
    <mergeCell ref="R258:R259"/>
    <mergeCell ref="O258:P259"/>
    <mergeCell ref="AT242:AW242"/>
    <mergeCell ref="AT233:AU233"/>
    <mergeCell ref="AQ14:AR14"/>
    <mergeCell ref="AO23:AP23"/>
    <mergeCell ref="AO33:AP33"/>
    <mergeCell ref="AO43:AP43"/>
    <mergeCell ref="AO65:AP65"/>
    <mergeCell ref="V20:V21"/>
    <mergeCell ref="U25:V25"/>
    <mergeCell ref="AF37:AF38"/>
    <mergeCell ref="BD14:BG14"/>
    <mergeCell ref="T14:Z14"/>
    <mergeCell ref="U20:U21"/>
    <mergeCell ref="AY25:AZ25"/>
    <mergeCell ref="BA25:BB25"/>
    <mergeCell ref="AQ24:AR24"/>
    <mergeCell ref="Y290:Y291"/>
    <mergeCell ref="Z290:Z291"/>
    <mergeCell ref="Y258:Y259"/>
    <mergeCell ref="Y198:Y199"/>
    <mergeCell ref="Y283:Y284"/>
    <mergeCell ref="Z283:Z284"/>
    <mergeCell ref="Y275:Y276"/>
    <mergeCell ref="Z275:Z276"/>
    <mergeCell ref="Z218:Z219"/>
    <mergeCell ref="Y270:Z270"/>
    <mergeCell ref="AO152:AR152"/>
    <mergeCell ref="AO193:AP193"/>
    <mergeCell ref="AQ193:AR193"/>
    <mergeCell ref="AP192:AR192"/>
    <mergeCell ref="AV233:AW233"/>
    <mergeCell ref="AQ35:AR35"/>
    <mergeCell ref="AJ14:AM15"/>
    <mergeCell ref="AF77:AF78"/>
    <mergeCell ref="AF60:AF61"/>
    <mergeCell ref="AF109:AF110"/>
    <mergeCell ref="V293:V299"/>
    <mergeCell ref="W293:X293"/>
    <mergeCell ref="Y293:Z293"/>
    <mergeCell ref="Y298:Y299"/>
    <mergeCell ref="Z298:Z299"/>
    <mergeCell ref="A3:C4"/>
    <mergeCell ref="A181:C182"/>
    <mergeCell ref="K15:S15"/>
    <mergeCell ref="E11:G12"/>
    <mergeCell ref="N11:N12"/>
    <mergeCell ref="E5:F5"/>
    <mergeCell ref="M11:M12"/>
    <mergeCell ref="S80:S81"/>
    <mergeCell ref="B15:D15"/>
    <mergeCell ref="AF215:AF216"/>
    <mergeCell ref="AF225:AF226"/>
    <mergeCell ref="U15:V15"/>
    <mergeCell ref="W15:Z15"/>
    <mergeCell ref="AF47:AF48"/>
    <mergeCell ref="AF50:AF51"/>
    <mergeCell ref="U35:V35"/>
    <mergeCell ref="AF166:AF167"/>
    <mergeCell ref="U218:U219"/>
    <mergeCell ref="W285:X285"/>
    <mergeCell ref="Y285:Z285"/>
    <mergeCell ref="AF235:AF236"/>
    <mergeCell ref="W223:Z223"/>
    <mergeCell ref="T228:T229"/>
    <mergeCell ref="CO63:CO64"/>
    <mergeCell ref="BA55:BB55"/>
    <mergeCell ref="BD64:BG64"/>
    <mergeCell ref="BK65:BL65"/>
    <mergeCell ref="BD54:BG54"/>
    <mergeCell ref="BF75:BG75"/>
    <mergeCell ref="AT73:AU73"/>
    <mergeCell ref="BN122:BO122"/>
    <mergeCell ref="BD112:BE112"/>
    <mergeCell ref="BI112:BJ112"/>
    <mergeCell ref="BN114:BO114"/>
    <mergeCell ref="BJ113:BL113"/>
    <mergeCell ref="BI114:BJ114"/>
    <mergeCell ref="AT45:AU45"/>
    <mergeCell ref="AV45:AW45"/>
    <mergeCell ref="AT54:AW54"/>
    <mergeCell ref="AT55:AU55"/>
    <mergeCell ref="AT53:AU53"/>
    <mergeCell ref="BD65:BE65"/>
    <mergeCell ref="BF65:BG65"/>
    <mergeCell ref="BD45:BE45"/>
    <mergeCell ref="BD55:BE55"/>
    <mergeCell ref="AY104:AZ104"/>
    <mergeCell ref="BP65:BQ65"/>
    <mergeCell ref="BO87:BQ87"/>
    <mergeCell ref="BK75:BL75"/>
    <mergeCell ref="BI65:BJ65"/>
    <mergeCell ref="BN112:BO112"/>
    <mergeCell ref="BJ103:BL103"/>
    <mergeCell ref="BD122:BE122"/>
    <mergeCell ref="BI45:BJ45"/>
    <mergeCell ref="BJ64:BL64"/>
    <mergeCell ref="AY13:AZ13"/>
    <mergeCell ref="CK65:CK69"/>
    <mergeCell ref="CM45:CM46"/>
    <mergeCell ref="AT132:AU132"/>
    <mergeCell ref="BP55:BQ55"/>
    <mergeCell ref="BN65:BO65"/>
    <mergeCell ref="BN75:BO75"/>
    <mergeCell ref="AZ64:BB64"/>
    <mergeCell ref="AY65:AZ65"/>
    <mergeCell ref="BN45:BO45"/>
    <mergeCell ref="BP45:BQ45"/>
    <mergeCell ref="BN55:BO55"/>
    <mergeCell ref="CK45:CK46"/>
    <mergeCell ref="BP75:BQ75"/>
    <mergeCell ref="BD75:BE75"/>
    <mergeCell ref="AT14:AW14"/>
    <mergeCell ref="BD132:BE132"/>
    <mergeCell ref="BI132:BJ132"/>
    <mergeCell ref="BJ123:BL123"/>
    <mergeCell ref="BN25:BO25"/>
    <mergeCell ref="BF35:BG35"/>
    <mergeCell ref="BD35:BE35"/>
    <mergeCell ref="BJ54:BL54"/>
    <mergeCell ref="BI55:BJ55"/>
    <mergeCell ref="BK55:BL55"/>
    <mergeCell ref="BI122:BJ122"/>
    <mergeCell ref="BP25:BQ25"/>
    <mergeCell ref="BN35:BO35"/>
    <mergeCell ref="BP35:BQ35"/>
    <mergeCell ref="BD25:BE25"/>
    <mergeCell ref="BF25:BG25"/>
    <mergeCell ref="BD113:BG113"/>
    <mergeCell ref="CK8:CN9"/>
    <mergeCell ref="CM28:CM29"/>
    <mergeCell ref="CK63:CK64"/>
    <mergeCell ref="CL63:CL64"/>
    <mergeCell ref="CM63:CM64"/>
    <mergeCell ref="CL28:CL29"/>
    <mergeCell ref="CK47:CK51"/>
    <mergeCell ref="CK28:CK29"/>
    <mergeCell ref="CK30:CK34"/>
    <mergeCell ref="CP63:CP64"/>
    <mergeCell ref="CO45:CO46"/>
    <mergeCell ref="CP45:CP46"/>
    <mergeCell ref="CL45:CL46"/>
    <mergeCell ref="AT63:AU63"/>
    <mergeCell ref="AZ34:BB34"/>
    <mergeCell ref="BF45:BG45"/>
    <mergeCell ref="AY53:AZ53"/>
    <mergeCell ref="AZ54:BB54"/>
    <mergeCell ref="BA45:BB45"/>
    <mergeCell ref="AT64:AW64"/>
    <mergeCell ref="AY63:AZ63"/>
    <mergeCell ref="AY10:BA10"/>
    <mergeCell ref="BA15:BB15"/>
    <mergeCell ref="AV35:AW35"/>
    <mergeCell ref="AT25:AU25"/>
    <mergeCell ref="AY33:AZ33"/>
    <mergeCell ref="AV25:AW25"/>
    <mergeCell ref="AY43:AZ43"/>
    <mergeCell ref="AT35:AU35"/>
    <mergeCell ref="BB11:BB12"/>
    <mergeCell ref="BA35:BB35"/>
    <mergeCell ref="AY35:AZ35"/>
    <mergeCell ref="AV193:AW193"/>
    <mergeCell ref="AT213:AU213"/>
    <mergeCell ref="AY223:AZ223"/>
    <mergeCell ref="AT164:AU164"/>
    <mergeCell ref="AT102:AU102"/>
    <mergeCell ref="AT112:AU112"/>
    <mergeCell ref="AT113:AW113"/>
    <mergeCell ref="AT104:AU104"/>
    <mergeCell ref="AT103:AW103"/>
    <mergeCell ref="AT152:AU152"/>
    <mergeCell ref="AT163:AW163"/>
    <mergeCell ref="AV164:AW164"/>
    <mergeCell ref="AT153:AW153"/>
    <mergeCell ref="AP221:AR221"/>
    <mergeCell ref="BI15:BJ15"/>
    <mergeCell ref="BK35:BL35"/>
    <mergeCell ref="BF15:BG15"/>
    <mergeCell ref="BD15:BE15"/>
    <mergeCell ref="BJ74:BL74"/>
    <mergeCell ref="BD24:BG24"/>
    <mergeCell ref="BD34:BG34"/>
    <mergeCell ref="BD44:BG44"/>
    <mergeCell ref="BI35:BJ35"/>
    <mergeCell ref="BF55:BG55"/>
    <mergeCell ref="BK45:BL45"/>
    <mergeCell ref="BD74:BG74"/>
    <mergeCell ref="AO63:AP63"/>
    <mergeCell ref="AQ64:AR64"/>
    <mergeCell ref="AT122:AU122"/>
    <mergeCell ref="AT123:AW123"/>
    <mergeCell ref="AO75:AP75"/>
    <mergeCell ref="AQ104:AR104"/>
    <mergeCell ref="AT23:AU23"/>
    <mergeCell ref="AY23:AZ23"/>
    <mergeCell ref="AZ24:BB24"/>
    <mergeCell ref="AT24:AW24"/>
    <mergeCell ref="BA114:BB114"/>
    <mergeCell ref="AT75:AU75"/>
    <mergeCell ref="AV75:AW75"/>
    <mergeCell ref="AT114:AU114"/>
    <mergeCell ref="AY73:AZ73"/>
    <mergeCell ref="AZ74:BB74"/>
    <mergeCell ref="AV55:AW55"/>
    <mergeCell ref="AZ103:BB103"/>
    <mergeCell ref="AY102:AZ102"/>
    <mergeCell ref="AZ87:BB87"/>
    <mergeCell ref="BB100:BB101"/>
    <mergeCell ref="BA104:BB104"/>
    <mergeCell ref="AZ14:BB14"/>
    <mergeCell ref="AY15:AZ15"/>
    <mergeCell ref="BD162:BE162"/>
    <mergeCell ref="BF114:BG114"/>
    <mergeCell ref="BI142:BJ142"/>
    <mergeCell ref="BI144:BJ144"/>
    <mergeCell ref="BJ163:BL163"/>
    <mergeCell ref="BI154:BJ154"/>
    <mergeCell ref="BD153:BG153"/>
    <mergeCell ref="BD154:BE154"/>
    <mergeCell ref="BI178:BL179"/>
    <mergeCell ref="BE176:BG176"/>
    <mergeCell ref="BI201:BJ201"/>
    <mergeCell ref="BF193:BG193"/>
    <mergeCell ref="BJ14:BL14"/>
    <mergeCell ref="BJ24:BL24"/>
    <mergeCell ref="BJ34:BL34"/>
    <mergeCell ref="BJ44:BL44"/>
    <mergeCell ref="BI25:BJ25"/>
    <mergeCell ref="BI75:BJ75"/>
    <mergeCell ref="BJ87:BL87"/>
    <mergeCell ref="BF104:BG104"/>
    <mergeCell ref="BI104:BJ104"/>
    <mergeCell ref="BD104:BE104"/>
    <mergeCell ref="BE87:BG87"/>
    <mergeCell ref="AY154:AZ154"/>
    <mergeCell ref="AZ202:BB202"/>
    <mergeCell ref="AP163:AR163"/>
    <mergeCell ref="AV223:AW223"/>
    <mergeCell ref="AY213:AZ213"/>
    <mergeCell ref="AY201:AZ201"/>
    <mergeCell ref="AZ153:BB153"/>
    <mergeCell ref="BA154:BB154"/>
    <mergeCell ref="AY162:AZ162"/>
    <mergeCell ref="AZ176:BB176"/>
    <mergeCell ref="AV154:AW154"/>
    <mergeCell ref="AP153:AR153"/>
    <mergeCell ref="BD178:BG179"/>
    <mergeCell ref="AP211:AR211"/>
    <mergeCell ref="AT201:AU201"/>
    <mergeCell ref="AO142:AR142"/>
    <mergeCell ref="AY178:BB179"/>
    <mergeCell ref="AT144:AU144"/>
    <mergeCell ref="AV144:AW144"/>
    <mergeCell ref="AT162:AU162"/>
    <mergeCell ref="AZ163:BB163"/>
    <mergeCell ref="AT154:AU154"/>
    <mergeCell ref="AO162:AR162"/>
    <mergeCell ref="AZ192:BB192"/>
    <mergeCell ref="AY191:AZ191"/>
    <mergeCell ref="AY164:AZ164"/>
    <mergeCell ref="BA164:BB164"/>
    <mergeCell ref="AZ212:BB212"/>
    <mergeCell ref="AZ222:BB222"/>
    <mergeCell ref="AV213:AW213"/>
    <mergeCell ref="AT222:AW222"/>
    <mergeCell ref="AT221:AU221"/>
    <mergeCell ref="AP201:AR201"/>
    <mergeCell ref="BD252:BG252"/>
    <mergeCell ref="BJ252:BL252"/>
    <mergeCell ref="BD242:BG242"/>
    <mergeCell ref="BJ242:BL242"/>
    <mergeCell ref="BK243:BL243"/>
    <mergeCell ref="BF243:BG243"/>
    <mergeCell ref="BD243:BE243"/>
    <mergeCell ref="BN201:BO201"/>
    <mergeCell ref="BD192:BG192"/>
    <mergeCell ref="BN178:BQ179"/>
    <mergeCell ref="BD201:BE201"/>
    <mergeCell ref="BO176:BQ176"/>
    <mergeCell ref="BJ176:BL176"/>
    <mergeCell ref="BD232:BG232"/>
    <mergeCell ref="BJ232:BL232"/>
    <mergeCell ref="BD222:BG222"/>
    <mergeCell ref="BJ222:BL222"/>
    <mergeCell ref="BK223:BL223"/>
    <mergeCell ref="BD241:BE241"/>
    <mergeCell ref="BI241:BJ241"/>
    <mergeCell ref="BK233:BL233"/>
    <mergeCell ref="BN241:BO241"/>
    <mergeCell ref="BN233:BO233"/>
    <mergeCell ref="BI233:BJ233"/>
    <mergeCell ref="BD212:BG212"/>
    <mergeCell ref="BJ212:BL212"/>
    <mergeCell ref="BK213:BL213"/>
    <mergeCell ref="BD202:BG202"/>
    <mergeCell ref="BJ202:BL202"/>
    <mergeCell ref="BP233:BQ233"/>
    <mergeCell ref="BP243:BQ243"/>
  </mergeCells>
  <phoneticPr fontId="2"/>
  <pageMargins left="0.70866141732283472" right="0.19685039370078741" top="0.62992125984251968" bottom="0.31496062992125984" header="0.35433070866141736" footer="0.51181102362204722"/>
  <pageSetup paperSize="9" scale="49" orientation="portrait" r:id="rId1"/>
  <headerFooter alignWithMargins="0">
    <oddHeader>&amp;R&amp;D　&amp;T</oddHeader>
    <oddFooter>&amp;Z&amp;F</oddFooter>
  </headerFooter>
  <rowBreaks count="3" manualBreakCount="3">
    <brk id="88" max="26" man="1"/>
    <brk id="177" max="16383" man="1"/>
    <brk id="266" max="26" man="1"/>
  </rowBreaks>
  <colBreaks count="2" manualBreakCount="2">
    <brk id="33" max="174" man="1"/>
    <brk id="69"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Sheet1</vt:lpstr>
      <vt:lpstr>入力画面</vt:lpstr>
      <vt:lpstr>算出表</vt:lpstr>
      <vt:lpstr>軽減基準額早見表</vt:lpstr>
      <vt:lpstr>合計（印刷）</vt:lpstr>
      <vt:lpstr>医療分・支援・介護分（印刷））</vt:lpstr>
      <vt:lpstr>算出表!OLE_LINK1</vt:lpstr>
      <vt:lpstr>算出表!OLE_LINK2</vt:lpstr>
      <vt:lpstr>Sheet1!Print_Area</vt:lpstr>
      <vt:lpstr>'医療分・支援・介護分（印刷））'!Print_Area</vt:lpstr>
      <vt:lpstr>軽減基準額早見表!Print_Area</vt:lpstr>
      <vt:lpstr>'合計（印刷）'!Print_Area</vt:lpstr>
      <vt:lpstr>算出表!Print_Area</vt:lpstr>
      <vt:lpstr>入力画面!Print_Area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哲也</dc:creator>
  <cp:lastModifiedBy>Administrator</cp:lastModifiedBy>
  <cp:lastPrinted>2025-05-30T09:44:02Z</cp:lastPrinted>
  <dcterms:created xsi:type="dcterms:W3CDTF">2004-02-29T06:19:40Z</dcterms:created>
  <dcterms:modified xsi:type="dcterms:W3CDTF">2026-03-31T02:22:03Z</dcterms:modified>
  <cp:contentStatus/>
</cp:coreProperties>
</file>