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17fs\国保医療課\01.国保\04.保険料\賦課\11.ホームページ\R8\R8ホームページシミュレーション\"/>
    </mc:Choice>
  </mc:AlternateContent>
  <workbookProtection workbookAlgorithmName="SHA-512" workbookHashValue="AzcXOzvSSxbUCfSCHA7qfyxe/gyt81G6D4hILqXttBbFGCbMSUmWqrUaJvUAYt5a+37ZrUVrrvm1UJdZcQqNAA==" workbookSaltValue="Ke4cfUS3Bzy4bbxJGelpOA==" workbookSpinCount="100000" lockStructure="1"/>
  <bookViews>
    <workbookView xWindow="960" yWindow="1035" windowWidth="24240" windowHeight="13995" tabRatio="509"/>
  </bookViews>
  <sheets>
    <sheet name="Sheet1" sheetId="17" r:id="rId1"/>
    <sheet name="入力画面" sheetId="13" state="hidden" r:id="rId2"/>
    <sheet name="算出表" sheetId="14" state="hidden" r:id="rId3"/>
    <sheet name="軽減基準額早見表" sheetId="15" state="hidden" r:id="rId4"/>
    <sheet name="合計（印刷）" sheetId="9" state="hidden" r:id="rId5"/>
    <sheet name="医療分・支援・子供・介護分（印刷））" sheetId="1" state="hidden" r:id="rId6"/>
    <sheet name="表作成用" sheetId="16" state="hidden" r:id="rId7"/>
  </sheets>
  <definedNames>
    <definedName name="OLE_LINK1" localSheetId="2">算出表!$B$57</definedName>
    <definedName name="OLE_LINK2" localSheetId="2">算出表!$B$57</definedName>
    <definedName name="_xlnm.Print_Area" localSheetId="0">Sheet1!$A$1:$AC$112</definedName>
    <definedName name="_xlnm.Print_Area" localSheetId="5">'医療分・支援・子供・介護分（印刷））'!$A$1:$AA$354</definedName>
    <definedName name="_xlnm.Print_Area" localSheetId="3">軽減基準額早見表!$A$1:$M$17</definedName>
    <definedName name="_xlnm.Print_Area" localSheetId="4">'合計（印刷）'!$A$1:$AA$67</definedName>
    <definedName name="_xlnm.Print_Area" localSheetId="2">算出表!$A$1:$AN$117</definedName>
    <definedName name="_xlnm.Print_Area" localSheetId="1">入力画面!$A$57:$Q$98,入力画面!$G$9:$K$10,入力画面!$T$10:$X$11</definedName>
  </definedNames>
  <calcPr calcId="162913" fullPrecision="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2" i="13" l="1"/>
  <c r="I45" i="13" s="1"/>
  <c r="C37" i="13"/>
  <c r="I39" i="13" s="1"/>
  <c r="C32" i="13"/>
  <c r="I35" i="13" s="1"/>
  <c r="C27" i="13"/>
  <c r="I30" i="13" s="1"/>
  <c r="C22" i="13"/>
  <c r="I24" i="13" s="1"/>
  <c r="C17" i="13"/>
  <c r="I20" i="13" s="1"/>
  <c r="I34" i="13" l="1"/>
  <c r="I29" i="13"/>
  <c r="I25" i="13"/>
  <c r="I40" i="13"/>
  <c r="I38" i="13"/>
  <c r="I44" i="13"/>
  <c r="I19" i="13"/>
  <c r="I43" i="13"/>
  <c r="I33" i="13"/>
  <c r="I28" i="13"/>
  <c r="I23" i="13"/>
  <c r="I18" i="13"/>
  <c r="I15" i="13" l="1"/>
  <c r="I14" i="13"/>
  <c r="I13" i="13"/>
  <c r="C12" i="13"/>
  <c r="V27" i="17" l="1"/>
  <c r="U27" i="17"/>
  <c r="T27" i="17"/>
  <c r="S27" i="17"/>
  <c r="R27" i="17"/>
  <c r="Q27" i="17"/>
  <c r="P27" i="17"/>
  <c r="V21" i="17"/>
  <c r="U21" i="17"/>
  <c r="T21" i="17"/>
  <c r="Q21" i="17"/>
  <c r="R21" i="17"/>
  <c r="S21" i="17"/>
  <c r="P21" i="17"/>
  <c r="O62" i="17" l="1"/>
  <c r="P62" i="17" s="1"/>
  <c r="V47" i="17"/>
  <c r="U47" i="17"/>
  <c r="T47" i="17"/>
  <c r="S47" i="17"/>
  <c r="R47" i="17"/>
  <c r="Q47" i="17"/>
  <c r="P47" i="17"/>
  <c r="V46" i="17"/>
  <c r="U46" i="17"/>
  <c r="T46" i="17"/>
  <c r="S46" i="17"/>
  <c r="R46" i="17"/>
  <c r="Q46" i="17"/>
  <c r="P46" i="17"/>
  <c r="V45" i="17"/>
  <c r="U45" i="17"/>
  <c r="T45" i="17"/>
  <c r="S45" i="17"/>
  <c r="R45" i="17"/>
  <c r="Q45" i="17"/>
  <c r="P45" i="17"/>
  <c r="V44" i="17"/>
  <c r="U44" i="17"/>
  <c r="T44" i="17"/>
  <c r="S44" i="17"/>
  <c r="R44" i="17"/>
  <c r="Q44" i="17"/>
  <c r="P44" i="17"/>
  <c r="V43" i="17"/>
  <c r="U43" i="17"/>
  <c r="T43" i="17"/>
  <c r="S43" i="17"/>
  <c r="R43" i="17"/>
  <c r="Q43" i="17"/>
  <c r="P43" i="17"/>
  <c r="V42" i="17"/>
  <c r="U42" i="17"/>
  <c r="T42" i="17"/>
  <c r="S42" i="17"/>
  <c r="R42" i="17"/>
  <c r="Q42" i="17"/>
  <c r="P42" i="17"/>
  <c r="V41" i="17"/>
  <c r="U41" i="17"/>
  <c r="T41" i="17"/>
  <c r="S41" i="17"/>
  <c r="R41" i="17"/>
  <c r="Q41" i="17"/>
  <c r="P41" i="17"/>
  <c r="V40" i="17"/>
  <c r="U40" i="17"/>
  <c r="T40" i="17"/>
  <c r="S40" i="17"/>
  <c r="R40" i="17"/>
  <c r="Q40" i="17"/>
  <c r="P40" i="17"/>
  <c r="V39" i="17"/>
  <c r="U39" i="17"/>
  <c r="T39" i="17"/>
  <c r="S39" i="17"/>
  <c r="R39" i="17"/>
  <c r="Q39" i="17"/>
  <c r="P39" i="17"/>
  <c r="V38" i="17"/>
  <c r="U38" i="17"/>
  <c r="T38" i="17"/>
  <c r="S38" i="17"/>
  <c r="R38" i="17"/>
  <c r="Q38" i="17"/>
  <c r="P38" i="17"/>
  <c r="V37" i="17"/>
  <c r="U37" i="17"/>
  <c r="T37" i="17"/>
  <c r="S37" i="17"/>
  <c r="R37" i="17"/>
  <c r="Q37" i="17"/>
  <c r="P37" i="17"/>
  <c r="V36" i="17"/>
  <c r="U36" i="17"/>
  <c r="T36" i="17"/>
  <c r="S36" i="17"/>
  <c r="R36" i="17"/>
  <c r="Q36" i="17"/>
  <c r="P36" i="17"/>
  <c r="V30" i="17"/>
  <c r="U30" i="17"/>
  <c r="T30" i="17"/>
  <c r="S30" i="17"/>
  <c r="R30" i="17"/>
  <c r="Q30" i="17"/>
  <c r="P30" i="17"/>
  <c r="V29" i="17"/>
  <c r="U29" i="17"/>
  <c r="T29" i="17"/>
  <c r="S29" i="17"/>
  <c r="R29" i="17"/>
  <c r="Q29" i="17"/>
  <c r="P29" i="17"/>
  <c r="V28" i="17"/>
  <c r="U28" i="17"/>
  <c r="T28" i="17"/>
  <c r="S28" i="17"/>
  <c r="R28" i="17"/>
  <c r="Q28" i="17"/>
  <c r="P28" i="17"/>
  <c r="V20" i="17"/>
  <c r="U20" i="17"/>
  <c r="T20" i="17"/>
  <c r="S20" i="17"/>
  <c r="R20" i="17"/>
  <c r="Q20" i="17"/>
  <c r="P20" i="17"/>
  <c r="Q31" i="17" l="1"/>
  <c r="Q51" i="17" s="1"/>
  <c r="S31" i="17"/>
  <c r="S51" i="17" s="1"/>
  <c r="U31" i="17"/>
  <c r="U51" i="17" s="1"/>
  <c r="R31" i="17"/>
  <c r="R51" i="17" s="1"/>
  <c r="R48" i="17"/>
  <c r="R49" i="17" s="1"/>
  <c r="R53" i="17" s="1"/>
  <c r="V48" i="17"/>
  <c r="V52" i="17" s="1"/>
  <c r="U48" i="17"/>
  <c r="U52" i="17" s="1"/>
  <c r="T31" i="17"/>
  <c r="T51" i="17" s="1"/>
  <c r="T48" i="17"/>
  <c r="T52" i="17" s="1"/>
  <c r="S48" i="17"/>
  <c r="S52" i="17" s="1"/>
  <c r="S54" i="17" s="1"/>
  <c r="S32" i="17" s="1"/>
  <c r="S57" i="17" s="1"/>
  <c r="Q48" i="17"/>
  <c r="Q49" i="17" s="1"/>
  <c r="Q53" i="17" s="1"/>
  <c r="P31" i="17"/>
  <c r="P51" i="17" s="1"/>
  <c r="P48" i="17"/>
  <c r="P52" i="17" s="1"/>
  <c r="T49" i="17"/>
  <c r="T53" i="17" s="1"/>
  <c r="U49" i="17"/>
  <c r="U53" i="17" s="1"/>
  <c r="S49" i="17"/>
  <c r="S53" i="17" s="1"/>
  <c r="S55" i="17" s="1"/>
  <c r="CG192" i="1"/>
  <c r="L4" i="15"/>
  <c r="J4" i="15"/>
  <c r="K4" i="15"/>
  <c r="F17" i="15"/>
  <c r="CF186" i="1"/>
  <c r="BZ214" i="1" s="1"/>
  <c r="CE186" i="1"/>
  <c r="CH186" i="1" s="1"/>
  <c r="CE185" i="1"/>
  <c r="CF185" i="1"/>
  <c r="CE97" i="1"/>
  <c r="CF97" i="1" s="1"/>
  <c r="N83" i="13"/>
  <c r="J83" i="13"/>
  <c r="G83" i="13"/>
  <c r="G82" i="13"/>
  <c r="CF190" i="1" s="1"/>
  <c r="J82" i="13"/>
  <c r="Q55" i="17" l="1"/>
  <c r="R55" i="17"/>
  <c r="U54" i="17"/>
  <c r="U32" i="17" s="1"/>
  <c r="U57" i="17" s="1"/>
  <c r="J26" i="17" s="1"/>
  <c r="N38" i="13" s="1"/>
  <c r="U55" i="17"/>
  <c r="V49" i="17"/>
  <c r="V53" i="17" s="1"/>
  <c r="R52" i="17"/>
  <c r="R54" i="17" s="1"/>
  <c r="R32" i="17" s="1"/>
  <c r="R57" i="17" s="1"/>
  <c r="J23" i="17" s="1"/>
  <c r="N23" i="13" s="1"/>
  <c r="Q52" i="17"/>
  <c r="Q54" i="17" s="1"/>
  <c r="Q32" i="17" s="1"/>
  <c r="Q57" i="17" s="1"/>
  <c r="Q58" i="17" s="1"/>
  <c r="T54" i="17"/>
  <c r="T32" i="17" s="1"/>
  <c r="T57" i="17" s="1"/>
  <c r="T58" i="17" s="1"/>
  <c r="P49" i="17"/>
  <c r="P53" i="17" s="1"/>
  <c r="P55" i="17" s="1"/>
  <c r="T55" i="17"/>
  <c r="S58" i="17"/>
  <c r="J24" i="17"/>
  <c r="N28" i="13" s="1"/>
  <c r="P54" i="17"/>
  <c r="P32" i="17" s="1"/>
  <c r="P57" i="17" s="1"/>
  <c r="J21" i="17" s="1"/>
  <c r="BZ244" i="1"/>
  <c r="BZ224" i="1"/>
  <c r="BZ254" i="1"/>
  <c r="BZ234" i="1"/>
  <c r="CG186" i="1"/>
  <c r="BZ204" i="1"/>
  <c r="BZ194" i="1"/>
  <c r="W14" i="13"/>
  <c r="CB219" i="1"/>
  <c r="BZ239" i="1"/>
  <c r="CA239" i="1"/>
  <c r="CB239" i="1"/>
  <c r="BZ249" i="1"/>
  <c r="BY259" i="1"/>
  <c r="CB259" i="1" s="1"/>
  <c r="BY229" i="1"/>
  <c r="CC229" i="1" s="1"/>
  <c r="BY209" i="1"/>
  <c r="BZ209" i="1" s="1"/>
  <c r="BY219" i="1"/>
  <c r="CC219" i="1" s="1"/>
  <c r="BY249" i="1"/>
  <c r="CA249" i="1" s="1"/>
  <c r="BY239" i="1"/>
  <c r="CC239" i="1" s="1"/>
  <c r="BY199" i="1"/>
  <c r="BZ199" i="1" s="1"/>
  <c r="I76" i="1"/>
  <c r="I165" i="1" s="1"/>
  <c r="I253" i="1" s="1"/>
  <c r="I66" i="1"/>
  <c r="I155" i="1" s="1"/>
  <c r="I243" i="1" s="1"/>
  <c r="B242" i="1" s="1"/>
  <c r="I56" i="1"/>
  <c r="I145" i="1" s="1"/>
  <c r="I233" i="1" s="1"/>
  <c r="I46" i="1"/>
  <c r="I135" i="1" s="1"/>
  <c r="I223" i="1" s="1"/>
  <c r="I36" i="1"/>
  <c r="I125" i="1" s="1"/>
  <c r="I213" i="1" s="1"/>
  <c r="I26" i="1"/>
  <c r="I115" i="1" s="1"/>
  <c r="I203" i="1" s="1"/>
  <c r="N196" i="1"/>
  <c r="I15" i="1"/>
  <c r="I104" i="1" s="1"/>
  <c r="I192" i="1" s="1"/>
  <c r="B15" i="1"/>
  <c r="I16" i="1"/>
  <c r="I105" i="1" s="1"/>
  <c r="I193" i="1" s="1"/>
  <c r="K17" i="1"/>
  <c r="AH15" i="1" s="1"/>
  <c r="U58" i="17" l="1"/>
  <c r="J22" i="17"/>
  <c r="N18" i="13" s="1"/>
  <c r="V31" i="17"/>
  <c r="V51" i="17" s="1"/>
  <c r="V54" i="17" s="1"/>
  <c r="V32" i="17" s="1"/>
  <c r="V57" i="17" s="1"/>
  <c r="J27" i="17" s="1"/>
  <c r="N43" i="13" s="1"/>
  <c r="N13" i="13"/>
  <c r="J25" i="17"/>
  <c r="N33" i="13" s="1"/>
  <c r="R58" i="17"/>
  <c r="P58" i="17"/>
  <c r="B192" i="1"/>
  <c r="CB229" i="1"/>
  <c r="CA199" i="1"/>
  <c r="CA219" i="1"/>
  <c r="BZ219" i="1"/>
  <c r="CA259" i="1"/>
  <c r="CC259" i="1"/>
  <c r="CA209" i="1"/>
  <c r="CC209" i="1"/>
  <c r="CA229" i="1"/>
  <c r="BZ229" i="1"/>
  <c r="CB249" i="1"/>
  <c r="BZ259" i="1"/>
  <c r="CB209" i="1"/>
  <c r="CC199" i="1"/>
  <c r="CB199" i="1"/>
  <c r="CC249" i="1"/>
  <c r="K254" i="1"/>
  <c r="K244" i="1"/>
  <c r="K234" i="1"/>
  <c r="K224" i="1"/>
  <c r="K214" i="1"/>
  <c r="K204" i="1"/>
  <c r="K293" i="1"/>
  <c r="V58" i="17" l="1"/>
  <c r="R62" i="17" s="1"/>
  <c r="V55" i="17"/>
  <c r="Q62" i="17" s="1"/>
  <c r="V62" i="17" s="1"/>
  <c r="BV254" i="1"/>
  <c r="BV253" i="1"/>
  <c r="CE187" i="1"/>
  <c r="I281" i="1"/>
  <c r="B281" i="1" s="1"/>
  <c r="U62" i="17" l="1"/>
  <c r="T62" i="17"/>
  <c r="F200" i="1"/>
  <c r="F112" i="1"/>
  <c r="O65" i="17" l="1"/>
  <c r="K34" i="17" s="1"/>
  <c r="CE189" i="1"/>
  <c r="CE188" i="1"/>
  <c r="CG197" i="1" s="1"/>
  <c r="CE184" i="1"/>
  <c r="E68" i="13"/>
  <c r="CE190" i="1"/>
  <c r="A178" i="1"/>
  <c r="D179" i="1"/>
  <c r="A183" i="1"/>
  <c r="BY186" i="1"/>
  <c r="BZ186" i="1" s="1"/>
  <c r="CA186" i="1" s="1"/>
  <c r="CB186" i="1" s="1"/>
  <c r="CF187" i="1"/>
  <c r="BZ184" i="1" s="1"/>
  <c r="CG187" i="1"/>
  <c r="CA184" i="1" s="1"/>
  <c r="CH187" i="1"/>
  <c r="CB184" i="1" s="1"/>
  <c r="BY193" i="1"/>
  <c r="BY183" i="1" s="1"/>
  <c r="BZ193" i="1"/>
  <c r="BZ183" i="1" s="1"/>
  <c r="CA193" i="1"/>
  <c r="CA183" i="1" s="1"/>
  <c r="CB193" i="1"/>
  <c r="CB183" i="1" s="1"/>
  <c r="BZ203" i="1"/>
  <c r="CB203" i="1"/>
  <c r="CB213" i="1" s="1"/>
  <c r="CB223" i="1" s="1"/>
  <c r="CB233" i="1" s="1"/>
  <c r="CB243" i="1" s="1"/>
  <c r="CB253" i="1" s="1"/>
  <c r="N206" i="1"/>
  <c r="BZ213" i="1"/>
  <c r="BZ223" i="1" s="1"/>
  <c r="BZ233" i="1" s="1"/>
  <c r="BZ243" i="1" s="1"/>
  <c r="BZ253" i="1" s="1"/>
  <c r="N216" i="1"/>
  <c r="N226" i="1"/>
  <c r="N236" i="1"/>
  <c r="N246" i="1"/>
  <c r="N256" i="1"/>
  <c r="N84" i="13"/>
  <c r="J84" i="13"/>
  <c r="G84" i="13"/>
  <c r="N82" i="13"/>
  <c r="N87" i="13" s="1"/>
  <c r="CG190" i="1"/>
  <c r="F23" i="1"/>
  <c r="G9" i="13" l="1"/>
  <c r="CH190" i="1"/>
  <c r="CG185" i="1"/>
  <c r="CG193" i="1"/>
  <c r="CG201" i="1"/>
  <c r="CA203" i="1"/>
  <c r="CA213" i="1" s="1"/>
  <c r="CA223" i="1" s="1"/>
  <c r="CA233" i="1" s="1"/>
  <c r="CA243" i="1" s="1"/>
  <c r="CA253" i="1" s="1"/>
  <c r="BY203" i="1"/>
  <c r="BY213" i="1" s="1"/>
  <c r="BY223" i="1" s="1"/>
  <c r="BY233" i="1" s="1"/>
  <c r="BY243" i="1" s="1"/>
  <c r="BY253" i="1" s="1"/>
  <c r="A264" i="1"/>
  <c r="CG202" i="1"/>
  <c r="CG200" i="1"/>
  <c r="CG198" i="1"/>
  <c r="CG196" i="1"/>
  <c r="CG194" i="1"/>
  <c r="CG195" i="1"/>
  <c r="CG199" i="1"/>
  <c r="CG203" i="1"/>
  <c r="AF182" i="1"/>
  <c r="CH185" i="1"/>
  <c r="E5" i="15"/>
  <c r="CB234" i="1" l="1"/>
  <c r="CB194" i="1"/>
  <c r="CB204" i="1"/>
  <c r="CB244" i="1"/>
  <c r="CB224" i="1"/>
  <c r="CB254" i="1"/>
  <c r="CB214" i="1"/>
  <c r="CA244" i="1"/>
  <c r="CA204" i="1"/>
  <c r="CA234" i="1"/>
  <c r="CA194" i="1"/>
  <c r="CA224" i="1"/>
  <c r="CA254" i="1"/>
  <c r="CA214" i="1"/>
  <c r="F16" i="15" l="1"/>
  <c r="F15" i="15"/>
  <c r="F14" i="15"/>
  <c r="F13" i="15"/>
  <c r="F12" i="15"/>
  <c r="F11" i="15"/>
  <c r="F10" i="15"/>
  <c r="F9" i="15"/>
  <c r="F8" i="15"/>
  <c r="F7" i="15"/>
  <c r="F6" i="15"/>
  <c r="F5" i="15"/>
  <c r="E17" i="15"/>
  <c r="E16" i="15"/>
  <c r="E15" i="15"/>
  <c r="E14" i="15"/>
  <c r="E13" i="15"/>
  <c r="E12" i="15"/>
  <c r="E11" i="15"/>
  <c r="E10" i="15"/>
  <c r="E9" i="15"/>
  <c r="E8" i="15"/>
  <c r="E7" i="15"/>
  <c r="E6" i="15"/>
  <c r="W19" i="13" l="1"/>
  <c r="K283" i="1" s="1"/>
  <c r="K194" i="1" l="1"/>
  <c r="AH192" i="1" s="1"/>
  <c r="K106" i="1"/>
  <c r="K37" i="1" l="1"/>
  <c r="F220" i="1" l="1"/>
  <c r="BV255" i="1"/>
  <c r="AH212" i="1"/>
  <c r="BV347" i="1"/>
  <c r="BV165" i="1"/>
  <c r="BV76" i="1"/>
  <c r="I40" i="14" l="1"/>
  <c r="R41" i="14" l="1"/>
  <c r="F289" i="1"/>
  <c r="C4" i="15" l="1"/>
  <c r="D5" i="15"/>
  <c r="D6" i="15"/>
  <c r="D7" i="15"/>
  <c r="D8" i="15"/>
  <c r="D9" i="15"/>
  <c r="D10" i="15"/>
  <c r="D11" i="15"/>
  <c r="D12" i="15"/>
  <c r="D13" i="15"/>
  <c r="D14" i="15"/>
  <c r="D15" i="15"/>
  <c r="D16" i="15"/>
  <c r="D17" i="15"/>
  <c r="F4" i="15" l="1"/>
  <c r="E4" i="15"/>
  <c r="D4" i="15"/>
  <c r="C6" i="14"/>
  <c r="N168" i="1" l="1"/>
  <c r="N158" i="1"/>
  <c r="N148" i="1"/>
  <c r="N138" i="1"/>
  <c r="N128" i="1"/>
  <c r="N118" i="1"/>
  <c r="N108" i="1"/>
  <c r="BY171" i="1"/>
  <c r="BZ171" i="1" s="1"/>
  <c r="BY161" i="1"/>
  <c r="BY151" i="1"/>
  <c r="BZ151" i="1" s="1"/>
  <c r="BY141" i="1"/>
  <c r="BY131" i="1"/>
  <c r="BY121" i="1"/>
  <c r="BY111" i="1"/>
  <c r="CE101" i="1"/>
  <c r="BY82" i="1"/>
  <c r="BZ82" i="1" s="1"/>
  <c r="BY72" i="1"/>
  <c r="BZ72" i="1" s="1"/>
  <c r="BY62" i="1"/>
  <c r="BY52" i="1"/>
  <c r="BY42" i="1"/>
  <c r="BY32" i="1"/>
  <c r="N79" i="1"/>
  <c r="N69" i="1"/>
  <c r="N59" i="1"/>
  <c r="N49" i="1"/>
  <c r="N39" i="1"/>
  <c r="N29" i="1"/>
  <c r="N19" i="1"/>
  <c r="BY22" i="1"/>
  <c r="BZ22" i="1" s="1"/>
  <c r="CE12" i="1"/>
  <c r="C12" i="14"/>
  <c r="AI14" i="14"/>
  <c r="AI8" i="14"/>
  <c r="AI20" i="14"/>
  <c r="C24" i="14"/>
  <c r="C18" i="14"/>
  <c r="P50" i="14"/>
  <c r="B32" i="14"/>
  <c r="I49" i="14"/>
  <c r="Y25" i="13"/>
  <c r="Z25" i="13" s="1"/>
  <c r="K38" i="14"/>
  <c r="AI26" i="14"/>
  <c r="B25" i="1"/>
  <c r="B202" i="1" s="1"/>
  <c r="B35" i="1"/>
  <c r="K27" i="1"/>
  <c r="K126" i="1"/>
  <c r="H197" i="1"/>
  <c r="CE9" i="1"/>
  <c r="CG9" i="1" s="1"/>
  <c r="CA7" i="1" s="1"/>
  <c r="CE98" i="1"/>
  <c r="CH98" i="1" s="1"/>
  <c r="CB96" i="1" s="1"/>
  <c r="I25" i="1"/>
  <c r="I291" i="1" s="1"/>
  <c r="CE275" i="1"/>
  <c r="CF275" i="1" s="1"/>
  <c r="BZ282" i="1" s="1"/>
  <c r="R14" i="13"/>
  <c r="C17" i="1" s="1"/>
  <c r="C194" i="1" s="1"/>
  <c r="D5" i="1"/>
  <c r="CE8" i="1"/>
  <c r="CF8" i="1" s="1"/>
  <c r="R19" i="13"/>
  <c r="C27" i="1" s="1"/>
  <c r="CE7" i="1"/>
  <c r="R24" i="13"/>
  <c r="C37" i="1" s="1"/>
  <c r="C214" i="1" s="1"/>
  <c r="CH97" i="1"/>
  <c r="CE96" i="1"/>
  <c r="CE273" i="1"/>
  <c r="CE274" i="1"/>
  <c r="CG274" i="1" s="1"/>
  <c r="K303" i="1"/>
  <c r="K313" i="1"/>
  <c r="BV350" i="1" s="1"/>
  <c r="K323" i="1"/>
  <c r="BV351" i="1" s="1"/>
  <c r="K333" i="1"/>
  <c r="AH331" i="1" s="1"/>
  <c r="K343" i="1"/>
  <c r="BV353" i="1" s="1"/>
  <c r="I35" i="1"/>
  <c r="I301" i="1" s="1"/>
  <c r="B301" i="1" s="1"/>
  <c r="H306" i="1" s="1"/>
  <c r="I45" i="1"/>
  <c r="I311" i="1" s="1"/>
  <c r="I55" i="1"/>
  <c r="I321" i="1" s="1"/>
  <c r="I65" i="1"/>
  <c r="I331" i="1" s="1"/>
  <c r="B331" i="1" s="1"/>
  <c r="H336" i="1" s="1"/>
  <c r="BY345" i="1" s="1"/>
  <c r="I75" i="1"/>
  <c r="CE10" i="1"/>
  <c r="CG15" i="1" s="1"/>
  <c r="B45" i="1"/>
  <c r="B222" i="1" s="1"/>
  <c r="B55" i="1"/>
  <c r="B65" i="1"/>
  <c r="R39" i="13"/>
  <c r="C67" i="1" s="1"/>
  <c r="K67" i="1"/>
  <c r="AH65" i="1" s="1"/>
  <c r="B75" i="1"/>
  <c r="B252" i="1" s="1"/>
  <c r="CE11" i="1"/>
  <c r="R29" i="13"/>
  <c r="C47" i="1" s="1"/>
  <c r="C224" i="1" s="1"/>
  <c r="R34" i="13"/>
  <c r="C57" i="1" s="1"/>
  <c r="C234" i="1" s="1"/>
  <c r="R44" i="13"/>
  <c r="C77" i="1" s="1"/>
  <c r="CE276" i="1"/>
  <c r="AF271" i="1" s="1"/>
  <c r="CE277" i="1"/>
  <c r="K47" i="1"/>
  <c r="K57" i="1"/>
  <c r="K77" i="1"/>
  <c r="K166" i="1" s="1"/>
  <c r="F172" i="1" s="1"/>
  <c r="CE100" i="1"/>
  <c r="CE99" i="1"/>
  <c r="CG104" i="1" s="1"/>
  <c r="A1" i="1"/>
  <c r="A90" i="1" s="1"/>
  <c r="CB105" i="1"/>
  <c r="CB115" i="1" s="1"/>
  <c r="CB125" i="1" s="1"/>
  <c r="CB135" i="1" s="1"/>
  <c r="CB145" i="1" s="1"/>
  <c r="CB155" i="1" s="1"/>
  <c r="CB165" i="1" s="1"/>
  <c r="CA105" i="1"/>
  <c r="CA115" i="1" s="1"/>
  <c r="CA125" i="1" s="1"/>
  <c r="CA135" i="1" s="1"/>
  <c r="CA145" i="1" s="1"/>
  <c r="CA155" i="1" s="1"/>
  <c r="CA165" i="1" s="1"/>
  <c r="BZ105" i="1"/>
  <c r="BZ95" i="1" s="1"/>
  <c r="BZ115" i="1"/>
  <c r="BZ125" i="1" s="1"/>
  <c r="BZ135" i="1" s="1"/>
  <c r="BZ145" i="1" s="1"/>
  <c r="BZ155" i="1" s="1"/>
  <c r="BZ165" i="1" s="1"/>
  <c r="BY105" i="1"/>
  <c r="BY115" i="1" s="1"/>
  <c r="BY125" i="1" s="1"/>
  <c r="BY135" i="1" s="1"/>
  <c r="BY145" i="1" s="1"/>
  <c r="BY155" i="1" s="1"/>
  <c r="BY165" i="1" s="1"/>
  <c r="D2" i="1"/>
  <c r="D91" i="1" s="1"/>
  <c r="BY98" i="1"/>
  <c r="BZ98" i="1" s="1"/>
  <c r="CA98" i="1" s="1"/>
  <c r="CB98" i="1" s="1"/>
  <c r="N74" i="13"/>
  <c r="J74" i="13"/>
  <c r="G74" i="13"/>
  <c r="N73" i="13"/>
  <c r="CH101" i="1" s="1"/>
  <c r="J73" i="13"/>
  <c r="CG101" i="1" s="1"/>
  <c r="G73" i="13"/>
  <c r="CF101" i="1" s="1"/>
  <c r="A1" i="9"/>
  <c r="A3" i="13" s="1"/>
  <c r="CH274" i="1"/>
  <c r="CB322" i="1" s="1"/>
  <c r="AJ6" i="1"/>
  <c r="AJ7" i="1"/>
  <c r="BY284" i="1"/>
  <c r="BZ284" i="1" s="1"/>
  <c r="CA284" i="1" s="1"/>
  <c r="CB284" i="1" s="1"/>
  <c r="BY9" i="1"/>
  <c r="BZ9" i="1" s="1"/>
  <c r="CA9" i="1" s="1"/>
  <c r="CB9" i="1" s="1"/>
  <c r="BY16" i="1"/>
  <c r="BY26" i="1" s="1"/>
  <c r="BY36" i="1" s="1"/>
  <c r="BY46" i="1" s="1"/>
  <c r="BY56" i="1" s="1"/>
  <c r="BY66" i="1" s="1"/>
  <c r="BY76" i="1" s="1"/>
  <c r="BZ16" i="1"/>
  <c r="BZ6" i="1" s="1"/>
  <c r="CA16" i="1"/>
  <c r="CA26" i="1" s="1"/>
  <c r="CA36" i="1" s="1"/>
  <c r="CA46" i="1" s="1"/>
  <c r="CA56" i="1" s="1"/>
  <c r="CA66" i="1" s="1"/>
  <c r="CA76" i="1" s="1"/>
  <c r="CB16" i="1"/>
  <c r="CB6" i="1" s="1"/>
  <c r="BY291" i="1"/>
  <c r="BY301" i="1" s="1"/>
  <c r="BY311" i="1" s="1"/>
  <c r="BY321" i="1" s="1"/>
  <c r="BY331" i="1" s="1"/>
  <c r="BY341" i="1" s="1"/>
  <c r="BY349" i="1" s="1"/>
  <c r="BZ291" i="1"/>
  <c r="BZ301" i="1" s="1"/>
  <c r="BZ311" i="1" s="1"/>
  <c r="BZ321" i="1" s="1"/>
  <c r="BZ331" i="1" s="1"/>
  <c r="BZ341" i="1" s="1"/>
  <c r="BZ349" i="1" s="1"/>
  <c r="BZ281" i="1"/>
  <c r="CA291" i="1"/>
  <c r="CA281" i="1" s="1"/>
  <c r="CB291" i="1"/>
  <c r="CB301" i="1" s="1"/>
  <c r="CB311" i="1" s="1"/>
  <c r="CB321" i="1" s="1"/>
  <c r="CB331" i="1" s="1"/>
  <c r="CB341" i="1" s="1"/>
  <c r="CB349" i="1" s="1"/>
  <c r="AG6" i="9"/>
  <c r="BJ6" i="9"/>
  <c r="A5" i="9"/>
  <c r="B4" i="9"/>
  <c r="B62" i="9"/>
  <c r="B54" i="9"/>
  <c r="B46" i="9"/>
  <c r="B38" i="9"/>
  <c r="B30" i="9"/>
  <c r="B22" i="9"/>
  <c r="B14" i="9"/>
  <c r="G64" i="13"/>
  <c r="CF12" i="1" s="1"/>
  <c r="J64" i="13"/>
  <c r="CG12" i="1" s="1"/>
  <c r="N64" i="13"/>
  <c r="N68" i="13" s="1"/>
  <c r="CH12" i="1" s="1"/>
  <c r="G65" i="13"/>
  <c r="J65" i="13"/>
  <c r="N65" i="13"/>
  <c r="G92" i="13"/>
  <c r="J92" i="13"/>
  <c r="N92" i="13"/>
  <c r="G93" i="13"/>
  <c r="J93" i="13"/>
  <c r="N93" i="13"/>
  <c r="AJ44" i="13"/>
  <c r="AI42" i="13"/>
  <c r="U42" i="13"/>
  <c r="U37" i="13"/>
  <c r="U32" i="13"/>
  <c r="U27" i="13"/>
  <c r="U22" i="13"/>
  <c r="U12" i="13"/>
  <c r="U17" i="13"/>
  <c r="AN13" i="13"/>
  <c r="AM13" i="13"/>
  <c r="F9" i="13"/>
  <c r="U46" i="13"/>
  <c r="U45" i="13"/>
  <c r="U41" i="13"/>
  <c r="U40" i="13"/>
  <c r="U36" i="13"/>
  <c r="U35" i="13"/>
  <c r="U31" i="13"/>
  <c r="U30" i="13"/>
  <c r="U26" i="13"/>
  <c r="U25" i="13"/>
  <c r="U21" i="13"/>
  <c r="U20" i="13"/>
  <c r="U16" i="13"/>
  <c r="U15" i="13"/>
  <c r="U13" i="13"/>
  <c r="F22" i="13"/>
  <c r="F27" i="13"/>
  <c r="F32" i="13"/>
  <c r="F37" i="13"/>
  <c r="F42" i="13"/>
  <c r="AJ14" i="13"/>
  <c r="AK14" i="13"/>
  <c r="AI12" i="13"/>
  <c r="U14" i="13"/>
  <c r="AI14" i="13"/>
  <c r="AJ19" i="13"/>
  <c r="AK19" i="13"/>
  <c r="AI17" i="13"/>
  <c r="U18" i="13"/>
  <c r="U19" i="13"/>
  <c r="AI19" i="13"/>
  <c r="AJ24" i="13"/>
  <c r="AK24" i="13"/>
  <c r="AI22" i="13"/>
  <c r="U23" i="13"/>
  <c r="U24" i="13"/>
  <c r="AI24" i="13"/>
  <c r="AJ29" i="13"/>
  <c r="AK29" i="13"/>
  <c r="AI27" i="13"/>
  <c r="U28" i="13"/>
  <c r="U29" i="13"/>
  <c r="AI29" i="13"/>
  <c r="AJ34" i="13"/>
  <c r="AK34" i="13"/>
  <c r="AI32" i="13"/>
  <c r="U33" i="13"/>
  <c r="U34" i="13"/>
  <c r="AI34" i="13"/>
  <c r="AJ39" i="13"/>
  <c r="AK39" i="13"/>
  <c r="AI37" i="13"/>
  <c r="U38" i="13"/>
  <c r="U39" i="13"/>
  <c r="AI39" i="13"/>
  <c r="AK44" i="13"/>
  <c r="U43" i="13"/>
  <c r="U44" i="13"/>
  <c r="AI44" i="13"/>
  <c r="BZ26" i="1"/>
  <c r="BZ36" i="1" s="1"/>
  <c r="BZ46" i="1" s="1"/>
  <c r="BZ56" i="1" s="1"/>
  <c r="BZ66" i="1" s="1"/>
  <c r="BZ76" i="1" s="1"/>
  <c r="BY6" i="1"/>
  <c r="CH275" i="1"/>
  <c r="CB282" i="1" s="1"/>
  <c r="CA6" i="1"/>
  <c r="CF274" i="1"/>
  <c r="BZ322" i="1" s="1"/>
  <c r="E197" i="1" l="1"/>
  <c r="B124" i="1"/>
  <c r="B212" i="1"/>
  <c r="H217" i="1" s="1"/>
  <c r="E217" i="1" s="1"/>
  <c r="T279" i="1"/>
  <c r="B144" i="1"/>
  <c r="H149" i="1" s="1"/>
  <c r="K150" i="1" s="1"/>
  <c r="BY148" i="1" s="1"/>
  <c r="BZ148" i="1" s="1"/>
  <c r="CA148" i="1" s="1"/>
  <c r="CB148" i="1" s="1"/>
  <c r="CC148" i="1" s="1"/>
  <c r="B232" i="1"/>
  <c r="H237" i="1" s="1"/>
  <c r="E237" i="1" s="1"/>
  <c r="BV349" i="1"/>
  <c r="B291" i="1"/>
  <c r="H296" i="1" s="1"/>
  <c r="H293" i="1" s="1"/>
  <c r="D182" i="1"/>
  <c r="E188" i="1" s="1"/>
  <c r="D271" i="1"/>
  <c r="E277" i="1" s="1"/>
  <c r="D94" i="1"/>
  <c r="CA72" i="1"/>
  <c r="CB72" i="1"/>
  <c r="BY95" i="1"/>
  <c r="CB26" i="1"/>
  <c r="CB36" i="1" s="1"/>
  <c r="CB46" i="1" s="1"/>
  <c r="CB56" i="1" s="1"/>
  <c r="CB66" i="1" s="1"/>
  <c r="CB76" i="1" s="1"/>
  <c r="CB281" i="1"/>
  <c r="I341" i="1"/>
  <c r="B341" i="1" s="1"/>
  <c r="H346" i="1" s="1"/>
  <c r="K346" i="1" s="1"/>
  <c r="BY351" i="1" s="1"/>
  <c r="BZ351" i="1" s="1"/>
  <c r="CA351" i="1" s="1"/>
  <c r="CB351" i="1" s="1"/>
  <c r="I164" i="1"/>
  <c r="I252" i="1" s="1"/>
  <c r="CA161" i="1"/>
  <c r="BZ161" i="1"/>
  <c r="Q37" i="13"/>
  <c r="CC72" i="1"/>
  <c r="CB22" i="1"/>
  <c r="CC22" i="1"/>
  <c r="CA22" i="1"/>
  <c r="CB332" i="1"/>
  <c r="CC161" i="1"/>
  <c r="CB161" i="1"/>
  <c r="CG275" i="1"/>
  <c r="CA282" i="1" s="1"/>
  <c r="I114" i="1"/>
  <c r="I202" i="1" s="1"/>
  <c r="A353" i="1"/>
  <c r="BY281" i="1"/>
  <c r="CA301" i="1"/>
  <c r="CA311" i="1" s="1"/>
  <c r="CA321" i="1" s="1"/>
  <c r="CA331" i="1" s="1"/>
  <c r="CA341" i="1" s="1"/>
  <c r="CA349" i="1" s="1"/>
  <c r="BV171" i="1"/>
  <c r="CB95" i="1"/>
  <c r="Q27" i="13"/>
  <c r="A87" i="1"/>
  <c r="CG26" i="1"/>
  <c r="CA95" i="1"/>
  <c r="A267" i="1"/>
  <c r="BZ332" i="1"/>
  <c r="BZ350" i="1"/>
  <c r="F63" i="1"/>
  <c r="C166" i="1"/>
  <c r="C254" i="1"/>
  <c r="H80" i="1"/>
  <c r="O79" i="1" s="1"/>
  <c r="H257" i="1"/>
  <c r="C156" i="1"/>
  <c r="C244" i="1"/>
  <c r="H40" i="1"/>
  <c r="E37" i="1" s="1"/>
  <c r="BZ302" i="1"/>
  <c r="BZ292" i="1"/>
  <c r="AH75" i="1"/>
  <c r="AH45" i="1"/>
  <c r="K156" i="1"/>
  <c r="F162" i="1" s="1"/>
  <c r="H70" i="1"/>
  <c r="K70" i="1" s="1"/>
  <c r="H247" i="1"/>
  <c r="H50" i="1"/>
  <c r="E50" i="1" s="1"/>
  <c r="H227" i="1"/>
  <c r="E227" i="1" s="1"/>
  <c r="C116" i="1"/>
  <c r="C204" i="1"/>
  <c r="H194" i="1"/>
  <c r="E194" i="1"/>
  <c r="K198" i="1"/>
  <c r="BY196" i="1" s="1"/>
  <c r="BZ196" i="1" s="1"/>
  <c r="CA196" i="1" s="1"/>
  <c r="CB196" i="1" s="1"/>
  <c r="CC196" i="1" s="1"/>
  <c r="K197" i="1"/>
  <c r="BY197" i="1"/>
  <c r="T13" i="1"/>
  <c r="B114" i="1"/>
  <c r="H119" i="1" s="1"/>
  <c r="BY119" i="1" s="1"/>
  <c r="H207" i="1"/>
  <c r="BZ111" i="1"/>
  <c r="CA171" i="1"/>
  <c r="CB82" i="1"/>
  <c r="AH341" i="1"/>
  <c r="F309" i="1"/>
  <c r="AH301" i="1"/>
  <c r="A176" i="1"/>
  <c r="B104" i="1"/>
  <c r="H109" i="1" s="1"/>
  <c r="K109" i="1" s="1"/>
  <c r="BY107" i="1" s="1"/>
  <c r="BZ107" i="1" s="1"/>
  <c r="CA107" i="1" s="1"/>
  <c r="CB107" i="1" s="1"/>
  <c r="CC107" i="1" s="1"/>
  <c r="H20" i="1"/>
  <c r="E17" i="1" s="1"/>
  <c r="CF98" i="1"/>
  <c r="BZ96" i="1" s="1"/>
  <c r="CG98" i="1"/>
  <c r="CA96" i="1" s="1"/>
  <c r="H60" i="1"/>
  <c r="K60" i="1" s="1"/>
  <c r="BY58" i="1" s="1"/>
  <c r="BZ58" i="1" s="1"/>
  <c r="CA58" i="1" s="1"/>
  <c r="CA322" i="1"/>
  <c r="CA342" i="1"/>
  <c r="CA350" i="1"/>
  <c r="C343" i="1"/>
  <c r="CB171" i="1"/>
  <c r="F83" i="1"/>
  <c r="CB111" i="1"/>
  <c r="I134" i="1"/>
  <c r="I222" i="1" s="1"/>
  <c r="BZ342" i="1"/>
  <c r="BZ312" i="1"/>
  <c r="CB312" i="1"/>
  <c r="CB302" i="1"/>
  <c r="CB292" i="1"/>
  <c r="CA332" i="1"/>
  <c r="F319" i="1"/>
  <c r="AF94" i="1"/>
  <c r="BV352" i="1"/>
  <c r="C333" i="1"/>
  <c r="C313" i="1"/>
  <c r="C136" i="1"/>
  <c r="AH164" i="1"/>
  <c r="Q22" i="13"/>
  <c r="CC111" i="1"/>
  <c r="CC171" i="1"/>
  <c r="CC82" i="1"/>
  <c r="CA82" i="1"/>
  <c r="CA111" i="1"/>
  <c r="B154" i="1"/>
  <c r="H159" i="1" s="1"/>
  <c r="AH321" i="1"/>
  <c r="F349" i="1"/>
  <c r="CG97" i="1"/>
  <c r="CA106" i="1" s="1"/>
  <c r="CB350" i="1"/>
  <c r="CB342" i="1"/>
  <c r="CA292" i="1"/>
  <c r="CA302" i="1"/>
  <c r="CA312" i="1"/>
  <c r="AH311" i="1"/>
  <c r="F339" i="1"/>
  <c r="D268" i="1"/>
  <c r="F329" i="1"/>
  <c r="I154" i="1"/>
  <c r="I242" i="1" s="1"/>
  <c r="CG281" i="1"/>
  <c r="CG283" i="1"/>
  <c r="CG285" i="1"/>
  <c r="CG287" i="1"/>
  <c r="CG289" i="1"/>
  <c r="CG291" i="1"/>
  <c r="CG282" i="1"/>
  <c r="CG284" i="1"/>
  <c r="CG286" i="1"/>
  <c r="CG288" i="1"/>
  <c r="CG290" i="1"/>
  <c r="CG280" i="1"/>
  <c r="C323" i="1"/>
  <c r="AF5" i="1"/>
  <c r="CG16" i="1"/>
  <c r="CG18" i="1"/>
  <c r="CG20" i="1"/>
  <c r="CG22" i="1"/>
  <c r="CG24" i="1"/>
  <c r="CG17" i="1"/>
  <c r="CG19" i="1"/>
  <c r="CG21" i="1"/>
  <c r="CG23" i="1"/>
  <c r="CG25" i="1"/>
  <c r="B311" i="1"/>
  <c r="H316" i="1" s="1"/>
  <c r="E316" i="1" s="1"/>
  <c r="I124" i="1"/>
  <c r="I212" i="1" s="1"/>
  <c r="BV80" i="1"/>
  <c r="B321" i="1"/>
  <c r="H326" i="1" s="1"/>
  <c r="BY335" i="1" s="1"/>
  <c r="BZ335" i="1" s="1"/>
  <c r="B40" i="13"/>
  <c r="C146" i="1"/>
  <c r="K136" i="1"/>
  <c r="AH134" i="1" s="1"/>
  <c r="C303" i="1"/>
  <c r="C126" i="1"/>
  <c r="B45" i="13"/>
  <c r="B164" i="1"/>
  <c r="H169" i="1" s="1"/>
  <c r="O336" i="1"/>
  <c r="N336" i="1" s="1"/>
  <c r="BV348" i="1"/>
  <c r="AH25" i="1"/>
  <c r="BV82" i="1"/>
  <c r="E336" i="1"/>
  <c r="H333" i="1"/>
  <c r="AF336" i="1"/>
  <c r="K337" i="1"/>
  <c r="BY344" i="1" s="1"/>
  <c r="BZ344" i="1" s="1"/>
  <c r="CA344" i="1" s="1"/>
  <c r="CB344" i="1" s="1"/>
  <c r="F73" i="1"/>
  <c r="BV81" i="1"/>
  <c r="BZ345" i="1"/>
  <c r="Q42" i="13"/>
  <c r="I144" i="1"/>
  <c r="I232" i="1" s="1"/>
  <c r="AH55" i="1"/>
  <c r="K146" i="1"/>
  <c r="CF9" i="1"/>
  <c r="BZ7" i="1" s="1"/>
  <c r="CG105" i="1"/>
  <c r="CG107" i="1"/>
  <c r="CG109" i="1"/>
  <c r="CG111" i="1"/>
  <c r="CG113" i="1"/>
  <c r="CG115" i="1"/>
  <c r="CG106" i="1"/>
  <c r="CG108" i="1"/>
  <c r="CG110" i="1"/>
  <c r="CG112" i="1"/>
  <c r="CG114" i="1"/>
  <c r="BV79" i="1"/>
  <c r="F53" i="1"/>
  <c r="Q32" i="13"/>
  <c r="B35" i="13"/>
  <c r="K336" i="1"/>
  <c r="BY343" i="1" s="1"/>
  <c r="BZ343" i="1" s="1"/>
  <c r="CA343" i="1" s="1"/>
  <c r="CB343" i="1" s="1"/>
  <c r="E333" i="1"/>
  <c r="R336" i="1"/>
  <c r="O335" i="1"/>
  <c r="BV78" i="1"/>
  <c r="B134" i="1"/>
  <c r="H139" i="1" s="1"/>
  <c r="E136" i="1" s="1"/>
  <c r="BV77" i="1"/>
  <c r="AH281" i="1"/>
  <c r="C293" i="1"/>
  <c r="H286" i="1"/>
  <c r="B25" i="13"/>
  <c r="H129" i="1"/>
  <c r="E126" i="1" s="1"/>
  <c r="B30" i="13"/>
  <c r="F43" i="1"/>
  <c r="H30" i="1"/>
  <c r="Q12" i="13"/>
  <c r="AH124" i="1"/>
  <c r="BV167" i="1"/>
  <c r="AH35" i="1"/>
  <c r="F299" i="1"/>
  <c r="AH291" i="1"/>
  <c r="E11" i="1"/>
  <c r="F132" i="1"/>
  <c r="B20" i="13"/>
  <c r="O305" i="1"/>
  <c r="E306" i="1"/>
  <c r="E303" i="1"/>
  <c r="H303" i="1"/>
  <c r="K306" i="1"/>
  <c r="BY313" i="1" s="1"/>
  <c r="BZ313" i="1" s="1"/>
  <c r="CA313" i="1" s="1"/>
  <c r="CB313" i="1" s="1"/>
  <c r="K307" i="1"/>
  <c r="BY314" i="1" s="1"/>
  <c r="BZ314" i="1" s="1"/>
  <c r="CA314" i="1" s="1"/>
  <c r="CB314" i="1" s="1"/>
  <c r="BY315" i="1"/>
  <c r="Q17" i="13"/>
  <c r="F33" i="1"/>
  <c r="K116" i="1"/>
  <c r="C283" i="1"/>
  <c r="C106" i="1"/>
  <c r="CB106" i="1"/>
  <c r="CB126" i="1"/>
  <c r="CB146" i="1"/>
  <c r="CB156" i="1"/>
  <c r="CB116" i="1"/>
  <c r="CB136" i="1"/>
  <c r="CB166" i="1"/>
  <c r="CH9" i="1"/>
  <c r="CB7" i="1" s="1"/>
  <c r="BZ67" i="1"/>
  <c r="BZ27" i="1"/>
  <c r="BZ17" i="1"/>
  <c r="BZ77" i="1"/>
  <c r="BZ37" i="1"/>
  <c r="BZ57" i="1"/>
  <c r="BZ47" i="1"/>
  <c r="CH8" i="1"/>
  <c r="CG8" i="1"/>
  <c r="AH104" i="1"/>
  <c r="B15" i="13"/>
  <c r="T102" i="1" l="1"/>
  <c r="BY353" i="1"/>
  <c r="BY354" i="1" s="1"/>
  <c r="E346" i="1"/>
  <c r="R346" i="1" s="1"/>
  <c r="E166" i="1"/>
  <c r="K159" i="1"/>
  <c r="BY157" i="1" s="1"/>
  <c r="BZ157" i="1" s="1"/>
  <c r="CA157" i="1" s="1"/>
  <c r="CB157" i="1" s="1"/>
  <c r="CC157" i="1" s="1"/>
  <c r="K347" i="1"/>
  <c r="BY352" i="1" s="1"/>
  <c r="BZ352" i="1" s="1"/>
  <c r="CA352" i="1" s="1"/>
  <c r="CB352" i="1" s="1"/>
  <c r="O345" i="1"/>
  <c r="E343" i="1"/>
  <c r="H343" i="1"/>
  <c r="O346" i="1"/>
  <c r="N346" i="1" s="1"/>
  <c r="R194" i="1"/>
  <c r="BY195" i="1"/>
  <c r="BZ195" i="1" s="1"/>
  <c r="CA195" i="1" s="1"/>
  <c r="CB195" i="1" s="1"/>
  <c r="CC195" i="1" s="1"/>
  <c r="AF346" i="1"/>
  <c r="BV354" i="1"/>
  <c r="CG292" i="1" s="1"/>
  <c r="E247" i="1"/>
  <c r="K242" i="1"/>
  <c r="E257" i="1"/>
  <c r="H204" i="1"/>
  <c r="E207" i="1"/>
  <c r="K296" i="1"/>
  <c r="BY303" i="1" s="1"/>
  <c r="BZ303" i="1" s="1"/>
  <c r="CA303" i="1" s="1"/>
  <c r="CB303" i="1" s="1"/>
  <c r="E20" i="1"/>
  <c r="K20" i="1"/>
  <c r="BY18" i="1" s="1"/>
  <c r="BZ18" i="1" s="1"/>
  <c r="K170" i="1"/>
  <c r="BY168" i="1" s="1"/>
  <c r="BZ168" i="1" s="1"/>
  <c r="CA168" i="1" s="1"/>
  <c r="CB168" i="1" s="1"/>
  <c r="CC168" i="1" s="1"/>
  <c r="F122" i="1"/>
  <c r="BV166" i="1"/>
  <c r="BY346" i="1"/>
  <c r="S182" i="1"/>
  <c r="E185" i="1" s="1"/>
  <c r="AF187" i="1" s="1"/>
  <c r="BY149" i="1"/>
  <c r="BZ149" i="1" s="1"/>
  <c r="E146" i="1"/>
  <c r="H146" i="1"/>
  <c r="K40" i="1"/>
  <c r="BY38" i="1" s="1"/>
  <c r="BZ38" i="1" s="1"/>
  <c r="H37" i="1"/>
  <c r="AF37" i="1" s="1"/>
  <c r="E80" i="1"/>
  <c r="K120" i="1"/>
  <c r="BY118" i="1" s="1"/>
  <c r="BZ118" i="1" s="1"/>
  <c r="CA118" i="1" s="1"/>
  <c r="CB118" i="1" s="1"/>
  <c r="CC118" i="1" s="1"/>
  <c r="K80" i="1"/>
  <c r="BY78" i="1" s="1"/>
  <c r="BZ78" i="1" s="1"/>
  <c r="CA78" i="1" s="1"/>
  <c r="CB78" i="1" s="1"/>
  <c r="CC78" i="1" s="1"/>
  <c r="BY80" i="1"/>
  <c r="H77" i="1"/>
  <c r="O295" i="1"/>
  <c r="O59" i="1"/>
  <c r="BY70" i="1"/>
  <c r="E67" i="1"/>
  <c r="O108" i="1"/>
  <c r="H47" i="1"/>
  <c r="E149" i="1"/>
  <c r="K71" i="1"/>
  <c r="BY69" i="1" s="1"/>
  <c r="BZ69" i="1" s="1"/>
  <c r="CA69" i="1" s="1"/>
  <c r="CB69" i="1" s="1"/>
  <c r="CC69" i="1" s="1"/>
  <c r="H116" i="1"/>
  <c r="O39" i="1"/>
  <c r="E47" i="1"/>
  <c r="AH154" i="1"/>
  <c r="BY109" i="1"/>
  <c r="BZ109" i="1" s="1"/>
  <c r="BY40" i="1"/>
  <c r="BZ40" i="1" s="1"/>
  <c r="E77" i="1"/>
  <c r="E116" i="1"/>
  <c r="K81" i="1"/>
  <c r="BY79" i="1" s="1"/>
  <c r="BZ79" i="1" s="1"/>
  <c r="CA79" i="1" s="1"/>
  <c r="CB79" i="1" s="1"/>
  <c r="CC79" i="1" s="1"/>
  <c r="BY50" i="1"/>
  <c r="E106" i="1"/>
  <c r="E119" i="1"/>
  <c r="BV170" i="1"/>
  <c r="AF194" i="1"/>
  <c r="K110" i="1"/>
  <c r="BY108" i="1" s="1"/>
  <c r="BZ108" i="1" s="1"/>
  <c r="CA108" i="1" s="1"/>
  <c r="CB108" i="1" s="1"/>
  <c r="CC108" i="1" s="1"/>
  <c r="E109" i="1"/>
  <c r="H106" i="1"/>
  <c r="E40" i="1"/>
  <c r="K41" i="1"/>
  <c r="BY39" i="1" s="1"/>
  <c r="BZ39" i="1" s="1"/>
  <c r="CA39" i="1" s="1"/>
  <c r="CB39" i="1" s="1"/>
  <c r="CC39" i="1" s="1"/>
  <c r="O49" i="1"/>
  <c r="K51" i="1"/>
  <c r="BY49" i="1" s="1"/>
  <c r="BZ49" i="1" s="1"/>
  <c r="CA49" i="1" s="1"/>
  <c r="CB49" i="1" s="1"/>
  <c r="CC49" i="1" s="1"/>
  <c r="K50" i="1"/>
  <c r="BY48" i="1" s="1"/>
  <c r="BZ48" i="1" s="1"/>
  <c r="CA48" i="1" s="1"/>
  <c r="CB48" i="1" s="1"/>
  <c r="CC48" i="1" s="1"/>
  <c r="E70" i="1"/>
  <c r="O69" i="1"/>
  <c r="E323" i="1"/>
  <c r="H67" i="1"/>
  <c r="E60" i="1"/>
  <c r="K149" i="1"/>
  <c r="BY147" i="1" s="1"/>
  <c r="BZ147" i="1" s="1"/>
  <c r="CA147" i="1" s="1"/>
  <c r="CB147" i="1" s="1"/>
  <c r="CC147" i="1" s="1"/>
  <c r="F152" i="1"/>
  <c r="O196" i="1"/>
  <c r="E234" i="1"/>
  <c r="H234" i="1"/>
  <c r="BY237" i="1"/>
  <c r="K238" i="1"/>
  <c r="BY236" i="1" s="1"/>
  <c r="BZ236" i="1" s="1"/>
  <c r="CA236" i="1" s="1"/>
  <c r="CB236" i="1" s="1"/>
  <c r="CC236" i="1" s="1"/>
  <c r="K237" i="1"/>
  <c r="BY235" i="1" s="1"/>
  <c r="BZ235" i="1" s="1"/>
  <c r="CA235" i="1" s="1"/>
  <c r="CB235" i="1" s="1"/>
  <c r="CC235" i="1" s="1"/>
  <c r="O236" i="1"/>
  <c r="K258" i="1"/>
  <c r="BY256" i="1" s="1"/>
  <c r="BZ256" i="1" s="1"/>
  <c r="CA256" i="1" s="1"/>
  <c r="CB256" i="1" s="1"/>
  <c r="CC256" i="1" s="1"/>
  <c r="H254" i="1"/>
  <c r="BY257" i="1"/>
  <c r="O256" i="1"/>
  <c r="E254" i="1"/>
  <c r="K257" i="1"/>
  <c r="BY255" i="1" s="1"/>
  <c r="BZ255" i="1" s="1"/>
  <c r="CA255" i="1" s="1"/>
  <c r="CB255" i="1" s="1"/>
  <c r="CC255" i="1" s="1"/>
  <c r="AH232" i="1"/>
  <c r="BV257" i="1"/>
  <c r="F240" i="1"/>
  <c r="BY207" i="1"/>
  <c r="K207" i="1"/>
  <c r="K208" i="1"/>
  <c r="BY206" i="1" s="1"/>
  <c r="BZ206" i="1" s="1"/>
  <c r="CA206" i="1" s="1"/>
  <c r="CB206" i="1" s="1"/>
  <c r="CC206" i="1" s="1"/>
  <c r="O206" i="1"/>
  <c r="E204" i="1"/>
  <c r="F210" i="1"/>
  <c r="AH202" i="1"/>
  <c r="BZ197" i="1"/>
  <c r="H224" i="1"/>
  <c r="K228" i="1"/>
  <c r="BY226" i="1" s="1"/>
  <c r="BZ226" i="1" s="1"/>
  <c r="CA226" i="1" s="1"/>
  <c r="CB226" i="1" s="1"/>
  <c r="CC226" i="1" s="1"/>
  <c r="BY227" i="1"/>
  <c r="E224" i="1"/>
  <c r="O226" i="1"/>
  <c r="K227" i="1"/>
  <c r="BY225" i="1" s="1"/>
  <c r="BZ225" i="1" s="1"/>
  <c r="CA225" i="1" s="1"/>
  <c r="CB225" i="1" s="1"/>
  <c r="CC225" i="1" s="1"/>
  <c r="E244" i="1"/>
  <c r="H244" i="1"/>
  <c r="BY247" i="1"/>
  <c r="K247" i="1"/>
  <c r="BY245" i="1" s="1"/>
  <c r="BZ245" i="1" s="1"/>
  <c r="CA245" i="1" s="1"/>
  <c r="CB245" i="1" s="1"/>
  <c r="CC245" i="1" s="1"/>
  <c r="K248" i="1"/>
  <c r="BY246" i="1" s="1"/>
  <c r="BZ246" i="1" s="1"/>
  <c r="CA246" i="1" s="1"/>
  <c r="CB246" i="1" s="1"/>
  <c r="CC246" i="1" s="1"/>
  <c r="O247" i="1"/>
  <c r="O246" i="1"/>
  <c r="AH242" i="1"/>
  <c r="BV258" i="1"/>
  <c r="F250" i="1"/>
  <c r="AH222" i="1"/>
  <c r="BV256" i="1"/>
  <c r="F230" i="1"/>
  <c r="AH252" i="1"/>
  <c r="BV259" i="1"/>
  <c r="F260" i="1"/>
  <c r="H214" i="1"/>
  <c r="BY217" i="1"/>
  <c r="K218" i="1"/>
  <c r="BY216" i="1" s="1"/>
  <c r="BZ216" i="1" s="1"/>
  <c r="CA216" i="1" s="1"/>
  <c r="CB216" i="1" s="1"/>
  <c r="CC216" i="1" s="1"/>
  <c r="O216" i="1"/>
  <c r="E214" i="1"/>
  <c r="K217" i="1"/>
  <c r="BY215" i="1" s="1"/>
  <c r="BZ215" i="1" s="1"/>
  <c r="CA215" i="1" s="1"/>
  <c r="CB215" i="1" s="1"/>
  <c r="CC215" i="1" s="1"/>
  <c r="K140" i="1"/>
  <c r="BY138" i="1" s="1"/>
  <c r="BZ138" i="1" s="1"/>
  <c r="CA138" i="1" s="1"/>
  <c r="CB138" i="1" s="1"/>
  <c r="CC138" i="1" s="1"/>
  <c r="BY159" i="1"/>
  <c r="BZ159" i="1" s="1"/>
  <c r="K169" i="1"/>
  <c r="BY167" i="1" s="1"/>
  <c r="CA156" i="1"/>
  <c r="F142" i="1"/>
  <c r="CB58" i="1"/>
  <c r="O325" i="1"/>
  <c r="H323" i="1"/>
  <c r="BY60" i="1"/>
  <c r="CC151" i="1"/>
  <c r="CB151" i="1"/>
  <c r="CA151" i="1"/>
  <c r="P335" i="1"/>
  <c r="K61" i="1"/>
  <c r="BY59" i="1" s="1"/>
  <c r="BZ59" i="1" s="1"/>
  <c r="CA59" i="1" s="1"/>
  <c r="CB59" i="1" s="1"/>
  <c r="CC59" i="1" s="1"/>
  <c r="E326" i="1"/>
  <c r="E57" i="1"/>
  <c r="H57" i="1"/>
  <c r="K277" i="1"/>
  <c r="O277" i="1" s="1"/>
  <c r="K317" i="1"/>
  <c r="BY324" i="1" s="1"/>
  <c r="BZ324" i="1" s="1"/>
  <c r="CA324" i="1" s="1"/>
  <c r="CB324" i="1" s="1"/>
  <c r="O315" i="1"/>
  <c r="CA146" i="1"/>
  <c r="K327" i="1"/>
  <c r="BY334" i="1" s="1"/>
  <c r="BZ334" i="1" s="1"/>
  <c r="CA334" i="1" s="1"/>
  <c r="CB334" i="1" s="1"/>
  <c r="K326" i="1"/>
  <c r="BY333" i="1" s="1"/>
  <c r="BZ333" i="1" s="1"/>
  <c r="CA333" i="1" s="1"/>
  <c r="CB333" i="1" s="1"/>
  <c r="H136" i="1"/>
  <c r="AF136" i="1" s="1"/>
  <c r="K286" i="1"/>
  <c r="BY293" i="1" s="1"/>
  <c r="BZ293" i="1" s="1"/>
  <c r="CA293" i="1" s="1"/>
  <c r="CB293" i="1" s="1"/>
  <c r="BY325" i="1"/>
  <c r="H313" i="1"/>
  <c r="H156" i="1"/>
  <c r="K160" i="1"/>
  <c r="BY158" i="1" s="1"/>
  <c r="BZ158" i="1" s="1"/>
  <c r="CA158" i="1" s="1"/>
  <c r="CB158" i="1" s="1"/>
  <c r="CC158" i="1" s="1"/>
  <c r="BV168" i="1"/>
  <c r="E156" i="1"/>
  <c r="E159" i="1"/>
  <c r="CA126" i="1"/>
  <c r="CA166" i="1"/>
  <c r="CA136" i="1"/>
  <c r="CA116" i="1"/>
  <c r="E313" i="1"/>
  <c r="K316" i="1"/>
  <c r="BY323" i="1" s="1"/>
  <c r="BZ323" i="1" s="1"/>
  <c r="CA323" i="1" s="1"/>
  <c r="CB323" i="1" s="1"/>
  <c r="BY336" i="1"/>
  <c r="H166" i="1"/>
  <c r="BY169" i="1"/>
  <c r="BZ169" i="1" s="1"/>
  <c r="CA169" i="1" s="1"/>
  <c r="CB169" i="1" s="1"/>
  <c r="CC169" i="1" s="1"/>
  <c r="E169" i="1"/>
  <c r="BY30" i="1"/>
  <c r="BZ30" i="1" s="1"/>
  <c r="CA30" i="1" s="1"/>
  <c r="K30" i="1"/>
  <c r="BY28" i="1" s="1"/>
  <c r="BZ28" i="1" s="1"/>
  <c r="CA28" i="1" s="1"/>
  <c r="K119" i="1"/>
  <c r="BY117" i="1" s="1"/>
  <c r="BZ117" i="1" s="1"/>
  <c r="CA117" i="1" s="1"/>
  <c r="BV83" i="1"/>
  <c r="CG27" i="1" s="1"/>
  <c r="K8" i="1"/>
  <c r="K31" i="1"/>
  <c r="BY29" i="1" s="1"/>
  <c r="BZ29" i="1" s="1"/>
  <c r="CA29" i="1" s="1"/>
  <c r="CB29" i="1" s="1"/>
  <c r="CC29" i="1" s="1"/>
  <c r="E100" i="1"/>
  <c r="O168" i="1"/>
  <c r="O158" i="1"/>
  <c r="O148" i="1"/>
  <c r="BY68" i="1"/>
  <c r="BZ68" i="1" s="1"/>
  <c r="CA68" i="1" s="1"/>
  <c r="CB68" i="1" s="1"/>
  <c r="CC68" i="1" s="1"/>
  <c r="CA345" i="1"/>
  <c r="BZ346" i="1"/>
  <c r="E129" i="1"/>
  <c r="BZ336" i="1"/>
  <c r="CA335" i="1"/>
  <c r="BV169" i="1"/>
  <c r="AH144" i="1"/>
  <c r="BZ353" i="1"/>
  <c r="R333" i="1"/>
  <c r="AF333" i="1"/>
  <c r="AF332" i="1" s="1"/>
  <c r="K139" i="1"/>
  <c r="BY137" i="1" s="1"/>
  <c r="BZ137" i="1" s="1"/>
  <c r="CA137" i="1" s="1"/>
  <c r="CB137" i="1" s="1"/>
  <c r="CC137" i="1" s="1"/>
  <c r="CC141" i="1" s="1"/>
  <c r="H126" i="1"/>
  <c r="AF126" i="1" s="1"/>
  <c r="E293" i="1"/>
  <c r="E286" i="1"/>
  <c r="CA52" i="1"/>
  <c r="O138" i="1"/>
  <c r="CC52" i="1"/>
  <c r="BY129" i="1"/>
  <c r="BZ129" i="1" s="1"/>
  <c r="BY20" i="1"/>
  <c r="BZ20" i="1" s="1"/>
  <c r="CA20" i="1" s="1"/>
  <c r="CB20" i="1" s="1"/>
  <c r="CC20" i="1" s="1"/>
  <c r="BZ52" i="1"/>
  <c r="CB141" i="1"/>
  <c r="BZ141" i="1"/>
  <c r="CA141" i="1"/>
  <c r="CB52" i="1"/>
  <c r="E139" i="1"/>
  <c r="BY139" i="1"/>
  <c r="BZ139" i="1" s="1"/>
  <c r="S94" i="1"/>
  <c r="E97" i="1" s="1"/>
  <c r="K129" i="1"/>
  <c r="BY127" i="1" s="1"/>
  <c r="BZ127" i="1" s="1"/>
  <c r="K130" i="1"/>
  <c r="BY128" i="1" s="1"/>
  <c r="BZ128" i="1" s="1"/>
  <c r="CA128" i="1" s="1"/>
  <c r="CB128" i="1" s="1"/>
  <c r="CC128" i="1" s="1"/>
  <c r="O128" i="1"/>
  <c r="E283" i="1"/>
  <c r="K287" i="1"/>
  <c r="BY294" i="1" s="1"/>
  <c r="BZ294" i="1" s="1"/>
  <c r="CA294" i="1" s="1"/>
  <c r="CB294" i="1" s="1"/>
  <c r="BY295" i="1"/>
  <c r="O285" i="1"/>
  <c r="H17" i="1"/>
  <c r="R17" i="1" s="1"/>
  <c r="O19" i="1"/>
  <c r="K21" i="1"/>
  <c r="BY19" i="1" s="1"/>
  <c r="BZ19" i="1" s="1"/>
  <c r="CA19" i="1" s="1"/>
  <c r="CB19" i="1" s="1"/>
  <c r="CC19" i="1" s="1"/>
  <c r="S5" i="1"/>
  <c r="E8" i="1" s="1"/>
  <c r="AF10" i="1" s="1"/>
  <c r="H27" i="1"/>
  <c r="E296" i="1"/>
  <c r="E27" i="1"/>
  <c r="E30" i="1"/>
  <c r="K297" i="1"/>
  <c r="BY304" i="1" s="1"/>
  <c r="BZ304" i="1" s="1"/>
  <c r="CA304" i="1" s="1"/>
  <c r="CB304" i="1" s="1"/>
  <c r="K274" i="1"/>
  <c r="BY283" i="1" s="1"/>
  <c r="BZ283" i="1" s="1"/>
  <c r="CA283" i="1" s="1"/>
  <c r="CB283" i="1" s="1"/>
  <c r="CB285" i="1" s="1"/>
  <c r="H283" i="1"/>
  <c r="BY305" i="1"/>
  <c r="O29" i="1"/>
  <c r="O118" i="1"/>
  <c r="BZ315" i="1"/>
  <c r="BY316" i="1"/>
  <c r="R303" i="1"/>
  <c r="AF303" i="1"/>
  <c r="AH114" i="1"/>
  <c r="BZ119" i="1"/>
  <c r="BZ116" i="1"/>
  <c r="BZ126" i="1"/>
  <c r="BZ166" i="1"/>
  <c r="BZ156" i="1"/>
  <c r="BZ146" i="1"/>
  <c r="BZ106" i="1"/>
  <c r="BZ136" i="1"/>
  <c r="CA67" i="1"/>
  <c r="CA37" i="1"/>
  <c r="CA17" i="1"/>
  <c r="CA47" i="1"/>
  <c r="CA57" i="1"/>
  <c r="CA77" i="1"/>
  <c r="CA27" i="1"/>
  <c r="CB57" i="1"/>
  <c r="CB27" i="1"/>
  <c r="CB67" i="1"/>
  <c r="CB47" i="1"/>
  <c r="CB77" i="1"/>
  <c r="CB17" i="1"/>
  <c r="CB37" i="1"/>
  <c r="K11" i="1"/>
  <c r="O11" i="1" s="1"/>
  <c r="R166" i="1" l="1"/>
  <c r="AF343" i="1"/>
  <c r="AF342" i="1" s="1"/>
  <c r="P345" i="1"/>
  <c r="R343" i="1"/>
  <c r="M342" i="1" s="1"/>
  <c r="T190" i="1"/>
  <c r="BY198" i="1"/>
  <c r="BV260" i="1"/>
  <c r="CG204" i="1" s="1"/>
  <c r="AH13" i="1"/>
  <c r="AH279" i="1" s="1"/>
  <c r="BY218" i="1"/>
  <c r="BY205" i="1"/>
  <c r="BZ205" i="1" s="1"/>
  <c r="CA205" i="1" s="1"/>
  <c r="R27" i="1"/>
  <c r="R116" i="1"/>
  <c r="R67" i="1"/>
  <c r="BY81" i="1"/>
  <c r="S271" i="1"/>
  <c r="E274" i="1" s="1"/>
  <c r="O274" i="1" s="1"/>
  <c r="T276" i="1" s="1"/>
  <c r="X279" i="1" s="1"/>
  <c r="C349" i="1" s="1"/>
  <c r="K349" i="1" s="1"/>
  <c r="U343" i="1" s="1"/>
  <c r="R146" i="1"/>
  <c r="AF146" i="1"/>
  <c r="R37" i="1"/>
  <c r="BZ121" i="1"/>
  <c r="BY150" i="1"/>
  <c r="R247" i="1"/>
  <c r="AF247" i="1"/>
  <c r="K97" i="1"/>
  <c r="BY326" i="1"/>
  <c r="K100" i="1"/>
  <c r="O100" i="1" s="1"/>
  <c r="BZ80" i="1"/>
  <c r="BZ81" i="1" s="1"/>
  <c r="R77" i="1"/>
  <c r="BY71" i="1"/>
  <c r="BY61" i="1"/>
  <c r="R323" i="1"/>
  <c r="AF313" i="1"/>
  <c r="BY51" i="1"/>
  <c r="K185" i="1"/>
  <c r="BZ60" i="1"/>
  <c r="BZ61" i="1" s="1"/>
  <c r="AF323" i="1"/>
  <c r="BZ50" i="1"/>
  <c r="CA50" i="1" s="1"/>
  <c r="BZ70" i="1"/>
  <c r="BZ71" i="1" s="1"/>
  <c r="AF77" i="1"/>
  <c r="AF67" i="1"/>
  <c r="R47" i="1"/>
  <c r="R254" i="1"/>
  <c r="AF57" i="1"/>
  <c r="AF116" i="1"/>
  <c r="AF204" i="1"/>
  <c r="AF47" i="1"/>
  <c r="R106" i="1"/>
  <c r="R313" i="1"/>
  <c r="BY160" i="1"/>
  <c r="AF106" i="1"/>
  <c r="R204" i="1"/>
  <c r="BY110" i="1"/>
  <c r="R244" i="1"/>
  <c r="AF214" i="1"/>
  <c r="R214" i="1"/>
  <c r="P246" i="1"/>
  <c r="N247" i="1"/>
  <c r="AF224" i="1"/>
  <c r="R224" i="1"/>
  <c r="BZ227" i="1"/>
  <c r="BZ228" i="1" s="1"/>
  <c r="BY228" i="1"/>
  <c r="AF244" i="1"/>
  <c r="BZ237" i="1"/>
  <c r="BZ238" i="1" s="1"/>
  <c r="BY238" i="1"/>
  <c r="BZ217" i="1"/>
  <c r="BZ218" i="1" s="1"/>
  <c r="BZ247" i="1"/>
  <c r="BZ248" i="1" s="1"/>
  <c r="BY248" i="1"/>
  <c r="BZ198" i="1"/>
  <c r="CA197" i="1"/>
  <c r="CA198" i="1" s="1"/>
  <c r="BZ207" i="1"/>
  <c r="AF254" i="1"/>
  <c r="BY258" i="1"/>
  <c r="BZ257" i="1"/>
  <c r="R234" i="1"/>
  <c r="AF234" i="1"/>
  <c r="R156" i="1"/>
  <c r="R57" i="1"/>
  <c r="AF166" i="1"/>
  <c r="AF156" i="1"/>
  <c r="BZ325" i="1"/>
  <c r="BZ326" i="1" s="1"/>
  <c r="CA62" i="1"/>
  <c r="BZ62" i="1"/>
  <c r="CC58" i="1"/>
  <c r="CC62" i="1" s="1"/>
  <c r="CB62" i="1"/>
  <c r="R136" i="1"/>
  <c r="R126" i="1"/>
  <c r="BY120" i="1"/>
  <c r="BV172" i="1"/>
  <c r="CG116" i="1" s="1"/>
  <c r="BY296" i="1"/>
  <c r="CA18" i="1"/>
  <c r="BZ21" i="1"/>
  <c r="AF99" i="1"/>
  <c r="CB28" i="1"/>
  <c r="CA32" i="1"/>
  <c r="BZ32" i="1"/>
  <c r="BZ167" i="1"/>
  <c r="BY170" i="1"/>
  <c r="BY140" i="1"/>
  <c r="CA346" i="1"/>
  <c r="CB345" i="1"/>
  <c r="CB346" i="1" s="1"/>
  <c r="CA149" i="1"/>
  <c r="BZ150" i="1"/>
  <c r="CB335" i="1"/>
  <c r="CB336" i="1" s="1"/>
  <c r="CA336" i="1"/>
  <c r="O326" i="1" s="1"/>
  <c r="AF283" i="1"/>
  <c r="CA159" i="1"/>
  <c r="BZ160" i="1"/>
  <c r="AF293" i="1"/>
  <c r="BA341" i="1"/>
  <c r="M332" i="1"/>
  <c r="U332" i="1"/>
  <c r="CA353" i="1"/>
  <c r="BZ354" i="1"/>
  <c r="BA331" i="1"/>
  <c r="AF27" i="1"/>
  <c r="CA127" i="1"/>
  <c r="BZ131" i="1"/>
  <c r="BY130" i="1"/>
  <c r="BZ295" i="1"/>
  <c r="BZ296" i="1" s="1"/>
  <c r="CA285" i="1"/>
  <c r="BZ285" i="1"/>
  <c r="BZ31" i="1"/>
  <c r="R283" i="1"/>
  <c r="AF17" i="1"/>
  <c r="R293" i="1"/>
  <c r="BY306" i="1"/>
  <c r="BY31" i="1"/>
  <c r="BZ305" i="1"/>
  <c r="BZ306" i="1" s="1"/>
  <c r="BY41" i="1"/>
  <c r="BZ140" i="1"/>
  <c r="CA139" i="1"/>
  <c r="CA38" i="1"/>
  <c r="BZ42" i="1"/>
  <c r="CA315" i="1"/>
  <c r="BZ316" i="1"/>
  <c r="CA40" i="1"/>
  <c r="BZ41" i="1"/>
  <c r="CA129" i="1"/>
  <c r="BZ130" i="1"/>
  <c r="CB117" i="1"/>
  <c r="CA121" i="1"/>
  <c r="O8" i="1"/>
  <c r="T10" i="1" s="1"/>
  <c r="CB30" i="1"/>
  <c r="CA31" i="1"/>
  <c r="CA119" i="1"/>
  <c r="BZ120" i="1"/>
  <c r="BY21" i="1"/>
  <c r="BY8" i="1"/>
  <c r="BZ8" i="1" s="1"/>
  <c r="CA109" i="1"/>
  <c r="BZ110" i="1"/>
  <c r="U342" i="1" l="1"/>
  <c r="BZ208" i="1"/>
  <c r="BY208" i="1"/>
  <c r="O97" i="1"/>
  <c r="T99" i="1" s="1"/>
  <c r="X102" i="1" s="1"/>
  <c r="AH102" i="1"/>
  <c r="AH190" i="1"/>
  <c r="AF243" i="1"/>
  <c r="U243" i="1"/>
  <c r="CB205" i="1"/>
  <c r="BZ51" i="1"/>
  <c r="CA80" i="1"/>
  <c r="CA81" i="1" s="1"/>
  <c r="U344" i="1"/>
  <c r="U345" i="1" s="1"/>
  <c r="C329" i="1"/>
  <c r="K329" i="1" s="1"/>
  <c r="U323" i="1" s="1"/>
  <c r="C339" i="1"/>
  <c r="K339" i="1" s="1"/>
  <c r="U333" i="1" s="1"/>
  <c r="U334" i="1" s="1"/>
  <c r="U335" i="1" s="1"/>
  <c r="C319" i="1"/>
  <c r="K319" i="1" s="1"/>
  <c r="U313" i="1" s="1"/>
  <c r="BA242" i="1"/>
  <c r="C309" i="1"/>
  <c r="K309" i="1" s="1"/>
  <c r="U303" i="1" s="1"/>
  <c r="CA60" i="1"/>
  <c r="CA61" i="1" s="1"/>
  <c r="CA70" i="1"/>
  <c r="CB70" i="1" s="1"/>
  <c r="AF276" i="1"/>
  <c r="CA325" i="1"/>
  <c r="CB325" i="1" s="1"/>
  <c r="CB326" i="1" s="1"/>
  <c r="CB197" i="1"/>
  <c r="CA237" i="1"/>
  <c r="CA238" i="1" s="1"/>
  <c r="CA227" i="1"/>
  <c r="BZ258" i="1"/>
  <c r="CA257" i="1"/>
  <c r="CA207" i="1"/>
  <c r="CA208" i="1" s="1"/>
  <c r="O185" i="1"/>
  <c r="CA247" i="1"/>
  <c r="CA248" i="1" s="1"/>
  <c r="CA217" i="1"/>
  <c r="CA218" i="1" s="1"/>
  <c r="C289" i="1"/>
  <c r="C299" i="1"/>
  <c r="K299" i="1" s="1"/>
  <c r="U293" i="1" s="1"/>
  <c r="P325" i="1"/>
  <c r="N326" i="1"/>
  <c r="R326" i="1"/>
  <c r="AF326" i="1"/>
  <c r="AF322" i="1" s="1"/>
  <c r="CB18" i="1"/>
  <c r="CA21" i="1"/>
  <c r="O20" i="1" s="1"/>
  <c r="CC28" i="1"/>
  <c r="CC32" i="1" s="1"/>
  <c r="CB32" i="1"/>
  <c r="CA167" i="1"/>
  <c r="BZ170" i="1"/>
  <c r="CB149" i="1"/>
  <c r="CA150" i="1"/>
  <c r="CB159" i="1"/>
  <c r="CA160" i="1"/>
  <c r="CB353" i="1"/>
  <c r="CB354" i="1" s="1"/>
  <c r="CA354" i="1"/>
  <c r="CA131" i="1"/>
  <c r="CB127" i="1"/>
  <c r="CA295" i="1"/>
  <c r="CB295" i="1" s="1"/>
  <c r="CB296" i="1" s="1"/>
  <c r="O286" i="1" s="1"/>
  <c r="CA305" i="1"/>
  <c r="CA306" i="1" s="1"/>
  <c r="BY97" i="1"/>
  <c r="BZ97" i="1" s="1"/>
  <c r="CA97" i="1" s="1"/>
  <c r="CA51" i="1"/>
  <c r="CB50" i="1"/>
  <c r="CB139" i="1"/>
  <c r="CA140" i="1"/>
  <c r="CB38" i="1"/>
  <c r="CA42" i="1"/>
  <c r="CB129" i="1"/>
  <c r="CA130" i="1"/>
  <c r="CB40" i="1"/>
  <c r="CA41" i="1"/>
  <c r="CB315" i="1"/>
  <c r="CB316" i="1" s="1"/>
  <c r="CA316" i="1"/>
  <c r="CC117" i="1"/>
  <c r="CC121" i="1" s="1"/>
  <c r="CB121" i="1"/>
  <c r="CB119" i="1"/>
  <c r="CA120" i="1"/>
  <c r="CC30" i="1"/>
  <c r="CB31" i="1"/>
  <c r="AJ10" i="1"/>
  <c r="CA8" i="1"/>
  <c r="BZ10" i="1"/>
  <c r="X13" i="1"/>
  <c r="CA110" i="1"/>
  <c r="O109" i="1" s="1"/>
  <c r="CB109" i="1"/>
  <c r="O306" i="1" l="1"/>
  <c r="P305" i="1" s="1"/>
  <c r="CB80" i="1"/>
  <c r="CC205" i="1"/>
  <c r="CA326" i="1"/>
  <c r="O316" i="1" s="1"/>
  <c r="N316" i="1" s="1"/>
  <c r="O30" i="1"/>
  <c r="R30" i="1" s="1"/>
  <c r="U26" i="1" s="1"/>
  <c r="CB60" i="1"/>
  <c r="CC60" i="1" s="1"/>
  <c r="CA71" i="1"/>
  <c r="U283" i="1"/>
  <c r="CB217" i="1"/>
  <c r="CB218" i="1" s="1"/>
  <c r="O217" i="1" s="1"/>
  <c r="N217" i="1" s="1"/>
  <c r="CB247" i="1"/>
  <c r="CB248" i="1" s="1"/>
  <c r="CB207" i="1"/>
  <c r="CB208" i="1" s="1"/>
  <c r="CA258" i="1"/>
  <c r="O257" i="1" s="1"/>
  <c r="CB257" i="1"/>
  <c r="CB227" i="1"/>
  <c r="CA228" i="1"/>
  <c r="CB237" i="1"/>
  <c r="CB238" i="1" s="1"/>
  <c r="O237" i="1" s="1"/>
  <c r="N237" i="1" s="1"/>
  <c r="CB198" i="1"/>
  <c r="CC197" i="1"/>
  <c r="C83" i="1"/>
  <c r="K83" i="1" s="1"/>
  <c r="U77" i="1" s="1"/>
  <c r="C23" i="1"/>
  <c r="K289" i="1"/>
  <c r="M322" i="1"/>
  <c r="BA321" i="1"/>
  <c r="U322" i="1"/>
  <c r="U324" i="1" s="1"/>
  <c r="U325" i="1" s="1"/>
  <c r="AF316" i="1"/>
  <c r="AF312" i="1" s="1"/>
  <c r="R316" i="1"/>
  <c r="AF306" i="1"/>
  <c r="AF302" i="1" s="1"/>
  <c r="R306" i="1"/>
  <c r="CC18" i="1"/>
  <c r="CB21" i="1"/>
  <c r="CA170" i="1"/>
  <c r="CB167" i="1"/>
  <c r="C162" i="1"/>
  <c r="K162" i="1" s="1"/>
  <c r="U156" i="1" s="1"/>
  <c r="C172" i="1"/>
  <c r="K172" i="1" s="1"/>
  <c r="U166" i="1" s="1"/>
  <c r="C63" i="1"/>
  <c r="K63" i="1" s="1"/>
  <c r="U57" i="1" s="1"/>
  <c r="C73" i="1"/>
  <c r="K73" i="1" s="1"/>
  <c r="U67" i="1" s="1"/>
  <c r="C112" i="1"/>
  <c r="C152" i="1"/>
  <c r="K152" i="1" s="1"/>
  <c r="U146" i="1" s="1"/>
  <c r="CB150" i="1"/>
  <c r="O149" i="1" s="1"/>
  <c r="CC149" i="1"/>
  <c r="CA296" i="1"/>
  <c r="CC80" i="1"/>
  <c r="CB81" i="1"/>
  <c r="O80" i="1" s="1"/>
  <c r="CC159" i="1"/>
  <c r="CB160" i="1"/>
  <c r="O159" i="1" s="1"/>
  <c r="CC70" i="1"/>
  <c r="CB71" i="1"/>
  <c r="C132" i="1"/>
  <c r="K132" i="1" s="1"/>
  <c r="U126" i="1" s="1"/>
  <c r="CC127" i="1"/>
  <c r="CC131" i="1" s="1"/>
  <c r="CB131" i="1"/>
  <c r="C142" i="1"/>
  <c r="K142" i="1" s="1"/>
  <c r="U136" i="1" s="1"/>
  <c r="CB305" i="1"/>
  <c r="CB306" i="1" s="1"/>
  <c r="O296" i="1" s="1"/>
  <c r="N296" i="1" s="1"/>
  <c r="C122" i="1"/>
  <c r="K122" i="1" s="1"/>
  <c r="BZ99" i="1"/>
  <c r="C43" i="1"/>
  <c r="K43" i="1" s="1"/>
  <c r="U37" i="1" s="1"/>
  <c r="C53" i="1"/>
  <c r="K53" i="1" s="1"/>
  <c r="U47" i="1" s="1"/>
  <c r="CC50" i="1"/>
  <c r="CB51" i="1"/>
  <c r="O50" i="1" s="1"/>
  <c r="CB140" i="1"/>
  <c r="O139" i="1" s="1"/>
  <c r="CC139" i="1"/>
  <c r="CC38" i="1"/>
  <c r="CC42" i="1" s="1"/>
  <c r="CB42" i="1"/>
  <c r="CC40" i="1"/>
  <c r="CB41" i="1"/>
  <c r="CC129" i="1"/>
  <c r="CB130" i="1"/>
  <c r="C33" i="1"/>
  <c r="K33" i="1" s="1"/>
  <c r="U27" i="1" s="1"/>
  <c r="CC119" i="1"/>
  <c r="CB120" i="1"/>
  <c r="O119" i="1" s="1"/>
  <c r="R119" i="1" s="1"/>
  <c r="CA99" i="1"/>
  <c r="CB97" i="1"/>
  <c r="CB99" i="1" s="1"/>
  <c r="CA10" i="1"/>
  <c r="CB8" i="1"/>
  <c r="CB10" i="1" s="1"/>
  <c r="CC109" i="1"/>
  <c r="CB110" i="1"/>
  <c r="N306" i="1" l="1"/>
  <c r="R159" i="1"/>
  <c r="P158" i="1"/>
  <c r="AF159" i="1"/>
  <c r="AF155" i="1" s="1"/>
  <c r="N159" i="1"/>
  <c r="R80" i="1"/>
  <c r="P79" i="1"/>
  <c r="AF80" i="1"/>
  <c r="AF76" i="1" s="1"/>
  <c r="N80" i="1"/>
  <c r="N149" i="1"/>
  <c r="P148" i="1"/>
  <c r="AF149" i="1"/>
  <c r="AF145" i="1" s="1"/>
  <c r="R149" i="1"/>
  <c r="BA144" i="1" s="1"/>
  <c r="R237" i="1"/>
  <c r="AF217" i="1"/>
  <c r="AF213" i="1" s="1"/>
  <c r="O70" i="1"/>
  <c r="P69" i="1" s="1"/>
  <c r="AF237" i="1"/>
  <c r="AF233" i="1" s="1"/>
  <c r="R217" i="1"/>
  <c r="BA212" i="1" s="1"/>
  <c r="P236" i="1"/>
  <c r="P216" i="1"/>
  <c r="O197" i="1"/>
  <c r="AF257" i="1"/>
  <c r="AF253" i="1" s="1"/>
  <c r="R257" i="1"/>
  <c r="P256" i="1"/>
  <c r="N257" i="1"/>
  <c r="P315" i="1"/>
  <c r="U213" i="1"/>
  <c r="BA232" i="1"/>
  <c r="U233" i="1"/>
  <c r="CB61" i="1"/>
  <c r="O60" i="1" s="1"/>
  <c r="U17" i="1"/>
  <c r="N70" i="1"/>
  <c r="AF30" i="1"/>
  <c r="AF26" i="1" s="1"/>
  <c r="P29" i="1"/>
  <c r="N30" i="1"/>
  <c r="BA75" i="1"/>
  <c r="AQ75" i="1"/>
  <c r="U76" i="1"/>
  <c r="U78" i="1" s="1"/>
  <c r="U79" i="1" s="1"/>
  <c r="R70" i="1"/>
  <c r="AF70" i="1"/>
  <c r="AF66" i="1" s="1"/>
  <c r="U155" i="1"/>
  <c r="U157" i="1" s="1"/>
  <c r="U158" i="1" s="1"/>
  <c r="BA154" i="1"/>
  <c r="K112" i="1"/>
  <c r="U116" i="1"/>
  <c r="U106" i="1" s="1"/>
  <c r="CC237" i="1"/>
  <c r="CB258" i="1"/>
  <c r="CC257" i="1"/>
  <c r="CC247" i="1"/>
  <c r="CC217" i="1"/>
  <c r="CB228" i="1"/>
  <c r="O227" i="1" s="1"/>
  <c r="CC227" i="1"/>
  <c r="CC207" i="1"/>
  <c r="O207" i="1"/>
  <c r="N20" i="1"/>
  <c r="AF20" i="1"/>
  <c r="AF16" i="1" s="1"/>
  <c r="R20" i="1"/>
  <c r="U16" i="1" s="1"/>
  <c r="P19" i="1"/>
  <c r="M312" i="1"/>
  <c r="BA311" i="1"/>
  <c r="U312" i="1"/>
  <c r="U314" i="1" s="1"/>
  <c r="U315" i="1" s="1"/>
  <c r="M302" i="1"/>
  <c r="U302" i="1"/>
  <c r="U304" i="1" s="1"/>
  <c r="U305" i="1" s="1"/>
  <c r="BA301" i="1"/>
  <c r="AF296" i="1"/>
  <c r="AF292" i="1" s="1"/>
  <c r="R296" i="1"/>
  <c r="BA291" i="1" s="1"/>
  <c r="N286" i="1"/>
  <c r="R286" i="1"/>
  <c r="P285" i="1"/>
  <c r="AF286" i="1"/>
  <c r="AF282" i="1" s="1"/>
  <c r="CC167" i="1"/>
  <c r="CB170" i="1"/>
  <c r="O169" i="1" s="1"/>
  <c r="AF139" i="1"/>
  <c r="AF135" i="1" s="1"/>
  <c r="R139" i="1"/>
  <c r="R50" i="1"/>
  <c r="AF50" i="1"/>
  <c r="AF46" i="1" s="1"/>
  <c r="O40" i="1"/>
  <c r="N40" i="1" s="1"/>
  <c r="O129" i="1"/>
  <c r="N129" i="1" s="1"/>
  <c r="BA25" i="1"/>
  <c r="AQ25" i="1"/>
  <c r="U115" i="1"/>
  <c r="BA114" i="1"/>
  <c r="AF109" i="1"/>
  <c r="AF105" i="1" s="1"/>
  <c r="R109" i="1"/>
  <c r="N139" i="1"/>
  <c r="P138" i="1"/>
  <c r="P49" i="1"/>
  <c r="N50" i="1"/>
  <c r="AF119" i="1"/>
  <c r="AF115" i="1" s="1"/>
  <c r="N119" i="1"/>
  <c r="P118" i="1"/>
  <c r="P108" i="1"/>
  <c r="N109" i="1"/>
  <c r="P295" i="1"/>
  <c r="K23" i="1"/>
  <c r="P196" i="1" l="1"/>
  <c r="R197" i="1"/>
  <c r="U145" i="1"/>
  <c r="U147" i="1" s="1"/>
  <c r="U148" i="1" s="1"/>
  <c r="N197" i="1"/>
  <c r="AF227" i="1"/>
  <c r="AF223" i="1" s="1"/>
  <c r="N227" i="1"/>
  <c r="P226" i="1"/>
  <c r="R227" i="1"/>
  <c r="BA222" i="1" s="1"/>
  <c r="R169" i="1"/>
  <c r="U165" i="1" s="1"/>
  <c r="U167" i="1" s="1"/>
  <c r="U168" i="1" s="1"/>
  <c r="N169" i="1"/>
  <c r="AF169" i="1"/>
  <c r="AF165" i="1" s="1"/>
  <c r="P168" i="1"/>
  <c r="AF60" i="1"/>
  <c r="AF56" i="1" s="1"/>
  <c r="R60" i="1"/>
  <c r="N60" i="1"/>
  <c r="P59" i="1"/>
  <c r="U193" i="1"/>
  <c r="AF197" i="1"/>
  <c r="AF193" i="1" s="1"/>
  <c r="BA252" i="1"/>
  <c r="U253" i="1"/>
  <c r="L353" i="1"/>
  <c r="AE276" i="1" s="1"/>
  <c r="U18" i="1"/>
  <c r="U19" i="1" s="1"/>
  <c r="N207" i="1"/>
  <c r="P206" i="1"/>
  <c r="AF207" i="1"/>
  <c r="AF203" i="1" s="1"/>
  <c r="AF184" i="1" s="1"/>
  <c r="AG183" i="1" s="1"/>
  <c r="R207" i="1"/>
  <c r="U203" i="1" s="1"/>
  <c r="AQ65" i="1"/>
  <c r="BA65" i="1"/>
  <c r="U66" i="1"/>
  <c r="U68" i="1" s="1"/>
  <c r="U69" i="1" s="1"/>
  <c r="R40" i="1"/>
  <c r="U117" i="1"/>
  <c r="U118" i="1" s="1"/>
  <c r="P128" i="1"/>
  <c r="AF40" i="1"/>
  <c r="AF36" i="1" s="1"/>
  <c r="BA15" i="1"/>
  <c r="AQ15" i="1"/>
  <c r="AF273" i="1"/>
  <c r="AG272" i="1" s="1"/>
  <c r="AU288" i="1" s="1"/>
  <c r="M292" i="1"/>
  <c r="U292" i="1"/>
  <c r="U294" i="1" s="1"/>
  <c r="U295" i="1" s="1"/>
  <c r="AF129" i="1"/>
  <c r="AF125" i="1" s="1"/>
  <c r="AF96" i="1" s="1"/>
  <c r="AG95" i="1" s="1"/>
  <c r="M282" i="1"/>
  <c r="BA281" i="1"/>
  <c r="U282" i="1"/>
  <c r="U284" i="1" s="1"/>
  <c r="U285" i="1" s="1"/>
  <c r="P39" i="1"/>
  <c r="R129" i="1"/>
  <c r="BA124" i="1" s="1"/>
  <c r="U135" i="1"/>
  <c r="U137" i="1" s="1"/>
  <c r="U138" i="1" s="1"/>
  <c r="BA134" i="1"/>
  <c r="U46" i="1"/>
  <c r="U48" i="1" s="1"/>
  <c r="U49" i="1" s="1"/>
  <c r="BA45" i="1"/>
  <c r="AQ45" i="1"/>
  <c r="BA104" i="1"/>
  <c r="U105" i="1"/>
  <c r="U107" i="1" s="1"/>
  <c r="U108" i="1" s="1"/>
  <c r="U28" i="1"/>
  <c r="U223" i="1" l="1"/>
  <c r="L87" i="1"/>
  <c r="K15" i="1" s="1"/>
  <c r="BA164" i="1"/>
  <c r="AF7" i="1"/>
  <c r="AG6" i="1" s="1"/>
  <c r="B2" i="9" s="1"/>
  <c r="A6" i="1" s="1"/>
  <c r="BA55" i="1"/>
  <c r="U56" i="1"/>
  <c r="U58" i="1" s="1"/>
  <c r="U59" i="1" s="1"/>
  <c r="AQ55" i="1"/>
  <c r="L176" i="1"/>
  <c r="K45" i="1"/>
  <c r="K25" i="1"/>
  <c r="CM65" i="1"/>
  <c r="F35" i="14"/>
  <c r="U29" i="1"/>
  <c r="CM30" i="1"/>
  <c r="BA202" i="1"/>
  <c r="F9" i="9"/>
  <c r="D40" i="17" s="1"/>
  <c r="U36" i="1"/>
  <c r="U38" i="1" s="1"/>
  <c r="U39" i="1" s="1"/>
  <c r="AQ35" i="1"/>
  <c r="BA35" i="1"/>
  <c r="U336" i="1"/>
  <c r="U331" i="1" s="1"/>
  <c r="U316" i="1"/>
  <c r="U311" i="1" s="1"/>
  <c r="U326" i="1"/>
  <c r="AR327" i="1" s="1"/>
  <c r="U306" i="1"/>
  <c r="AR307" i="1" s="1"/>
  <c r="U346" i="1"/>
  <c r="U341" i="1" s="1"/>
  <c r="U296" i="1"/>
  <c r="U291" i="1" s="1"/>
  <c r="U125" i="1"/>
  <c r="U127" i="1" s="1"/>
  <c r="U128" i="1" s="1"/>
  <c r="K55" i="1"/>
  <c r="K75" i="1"/>
  <c r="K65" i="1"/>
  <c r="U70" i="1"/>
  <c r="U65" i="1" s="1"/>
  <c r="U60" i="1"/>
  <c r="U55" i="1" s="1"/>
  <c r="U80" i="1"/>
  <c r="U50" i="1"/>
  <c r="U45" i="1" s="1"/>
  <c r="F6" i="9"/>
  <c r="AE10" i="1"/>
  <c r="AE1" i="9" l="1"/>
  <c r="AG2" i="1"/>
  <c r="L11" i="13"/>
  <c r="U30" i="1"/>
  <c r="U25" i="1" s="1"/>
  <c r="L9" i="13"/>
  <c r="A48" i="9" s="1"/>
  <c r="K154" i="1"/>
  <c r="K164" i="1"/>
  <c r="F34" i="14"/>
  <c r="D34" i="17"/>
  <c r="F36" i="14"/>
  <c r="K134" i="1"/>
  <c r="K124" i="1"/>
  <c r="K114" i="1"/>
  <c r="K104" i="1"/>
  <c r="K144" i="1"/>
  <c r="K35" i="1"/>
  <c r="U40" i="1"/>
  <c r="U35" i="1" s="1"/>
  <c r="F7" i="9"/>
  <c r="D36" i="17" s="1"/>
  <c r="CM47" i="1"/>
  <c r="S67" i="9"/>
  <c r="S59" i="9"/>
  <c r="AR337" i="1"/>
  <c r="AR347" i="1"/>
  <c r="AR317" i="1"/>
  <c r="U301" i="1"/>
  <c r="U321" i="1"/>
  <c r="BB307" i="1"/>
  <c r="AW81" i="1"/>
  <c r="AR297" i="1"/>
  <c r="A272" i="1"/>
  <c r="A95" i="1"/>
  <c r="U286" i="1"/>
  <c r="U281" i="1" s="1"/>
  <c r="AZ308" i="1"/>
  <c r="AU52" i="1"/>
  <c r="AZ338" i="1"/>
  <c r="BB297" i="1"/>
  <c r="AZ318" i="1"/>
  <c r="AU22" i="1"/>
  <c r="AZ22" i="1" s="1"/>
  <c r="AU32" i="1"/>
  <c r="BB347" i="1"/>
  <c r="AU72" i="1"/>
  <c r="BB327" i="1"/>
  <c r="AU82" i="1"/>
  <c r="Z386" i="1"/>
  <c r="X387" i="1" s="1"/>
  <c r="AZ348" i="1"/>
  <c r="AZ288" i="1"/>
  <c r="AZ298" i="1"/>
  <c r="AU62" i="1"/>
  <c r="AZ328" i="1"/>
  <c r="BB317" i="1"/>
  <c r="AU42" i="1"/>
  <c r="BB337" i="1"/>
  <c r="U149" i="1"/>
  <c r="U144" i="1" s="1"/>
  <c r="U119" i="1"/>
  <c r="AR120" i="1" s="1"/>
  <c r="U129" i="1"/>
  <c r="U124" i="1" s="1"/>
  <c r="U169" i="1"/>
  <c r="U139" i="1"/>
  <c r="U159" i="1"/>
  <c r="AW51" i="1"/>
  <c r="A40" i="9"/>
  <c r="AW71" i="1"/>
  <c r="U75" i="1"/>
  <c r="AW61" i="1"/>
  <c r="AW31" i="1" l="1"/>
  <c r="A64" i="9"/>
  <c r="A24" i="9"/>
  <c r="A56" i="9"/>
  <c r="A16" i="9"/>
  <c r="A32" i="9"/>
  <c r="U109" i="1"/>
  <c r="BB110" i="1" s="1"/>
  <c r="AW41" i="1"/>
  <c r="U20" i="1"/>
  <c r="U15" i="1" s="1"/>
  <c r="U154" i="1"/>
  <c r="AE274" i="1"/>
  <c r="BB287" i="1"/>
  <c r="AR287" i="1"/>
  <c r="U114" i="1"/>
  <c r="AR130" i="1"/>
  <c r="X385" i="1"/>
  <c r="Z383" i="1"/>
  <c r="Z385" i="1"/>
  <c r="Z382" i="1"/>
  <c r="AR150" i="1"/>
  <c r="Z384" i="1"/>
  <c r="X383" i="1"/>
  <c r="X384" i="1"/>
  <c r="X386" i="1"/>
  <c r="AR170" i="1"/>
  <c r="U134" i="1"/>
  <c r="AR160" i="1"/>
  <c r="U164" i="1"/>
  <c r="AR140" i="1"/>
  <c r="S48" i="14"/>
  <c r="AW21" i="1" l="1"/>
  <c r="AE8" i="1"/>
  <c r="BB160" i="1"/>
  <c r="X382" i="1"/>
  <c r="AE97" i="1"/>
  <c r="AR110" i="1"/>
  <c r="BB120" i="1"/>
  <c r="BB130" i="1"/>
  <c r="BB140" i="1"/>
  <c r="BB170" i="1"/>
  <c r="U104" i="1"/>
  <c r="BB150" i="1"/>
  <c r="AF48" i="14"/>
  <c r="K188" i="1" l="1"/>
  <c r="O188" i="1" s="1"/>
  <c r="T187" i="1" s="1"/>
  <c r="X190" i="1" s="1"/>
  <c r="C210" i="1" s="1"/>
  <c r="C200" i="1" l="1"/>
  <c r="C260" i="1"/>
  <c r="K260" i="1" s="1"/>
  <c r="U254" i="1" s="1"/>
  <c r="BY185" i="1"/>
  <c r="BZ185" i="1" s="1"/>
  <c r="U255" i="1" l="1"/>
  <c r="K252" i="1" s="1"/>
  <c r="C240" i="1"/>
  <c r="K240" i="1" s="1"/>
  <c r="U234" i="1" s="1"/>
  <c r="C250" i="1"/>
  <c r="K250" i="1" s="1"/>
  <c r="U244" i="1" s="1"/>
  <c r="C220" i="1"/>
  <c r="K220" i="1" s="1"/>
  <c r="U214" i="1" s="1"/>
  <c r="C230" i="1"/>
  <c r="K230" i="1" s="1"/>
  <c r="U224" i="1" s="1"/>
  <c r="K210" i="1"/>
  <c r="U204" i="1" s="1"/>
  <c r="BZ187" i="1"/>
  <c r="CA185" i="1"/>
  <c r="U235" i="1" l="1"/>
  <c r="U236" i="1" s="1"/>
  <c r="U205" i="1"/>
  <c r="K202" i="1" s="1"/>
  <c r="U215" i="1"/>
  <c r="K212" i="1" s="1"/>
  <c r="U256" i="1"/>
  <c r="U245" i="1"/>
  <c r="U225" i="1"/>
  <c r="K222" i="1" s="1"/>
  <c r="K200" i="1"/>
  <c r="CB185" i="1"/>
  <c r="CB187" i="1" s="1"/>
  <c r="CA187" i="1"/>
  <c r="L264" i="1" l="1"/>
  <c r="U216" i="1"/>
  <c r="K232" i="1"/>
  <c r="U246" i="1"/>
  <c r="U226" i="1"/>
  <c r="U194" i="1"/>
  <c r="AE99" i="1" l="1"/>
  <c r="AE187" i="1"/>
  <c r="F37" i="14"/>
  <c r="U257" i="1"/>
  <c r="AR80" i="1" s="1"/>
  <c r="AR79" i="1" s="1"/>
  <c r="U227" i="1"/>
  <c r="U222" i="1" s="1"/>
  <c r="U237" i="1"/>
  <c r="AR60" i="1" s="1"/>
  <c r="AP60" i="1" s="1"/>
  <c r="U217" i="1"/>
  <c r="F30" i="9" s="1"/>
  <c r="D30" i="9" s="1"/>
  <c r="U247" i="1"/>
  <c r="F54" i="9" s="1"/>
  <c r="D54" i="9" s="1"/>
  <c r="U207" i="1"/>
  <c r="U206" i="1"/>
  <c r="U197" i="1" l="1"/>
  <c r="AR248" i="1"/>
  <c r="AR70" i="1"/>
  <c r="AR66" i="1" s="1"/>
  <c r="F38" i="9"/>
  <c r="D38" i="9" s="1"/>
  <c r="AR228" i="1"/>
  <c r="AR50" i="1"/>
  <c r="AR46" i="1" s="1"/>
  <c r="U242" i="1"/>
  <c r="AP80" i="1"/>
  <c r="AP78" i="1"/>
  <c r="AQ164" i="1"/>
  <c r="F46" i="9"/>
  <c r="D46" i="9" s="1"/>
  <c r="AR218" i="1"/>
  <c r="U232" i="1"/>
  <c r="AR40" i="1"/>
  <c r="AR37" i="1" s="1"/>
  <c r="U212" i="1"/>
  <c r="AR59" i="1"/>
  <c r="AQ321" i="1"/>
  <c r="AP326" i="1" s="1"/>
  <c r="AR56" i="1"/>
  <c r="AP59" i="1"/>
  <c r="AP77" i="1"/>
  <c r="AR78" i="1"/>
  <c r="AP57" i="1"/>
  <c r="AP61" i="1"/>
  <c r="AP81" i="1"/>
  <c r="AR58" i="1"/>
  <c r="AQ144" i="1"/>
  <c r="AR76" i="1"/>
  <c r="AR57" i="1"/>
  <c r="AQ341" i="1"/>
  <c r="U252" i="1"/>
  <c r="AR258" i="1"/>
  <c r="AQ252" i="1" s="1"/>
  <c r="AR256" i="1" s="1"/>
  <c r="AR77" i="1"/>
  <c r="F62" i="9"/>
  <c r="D62" i="9" s="1"/>
  <c r="AR238" i="1"/>
  <c r="AQ232" i="1" s="1"/>
  <c r="AP237" i="1" s="1"/>
  <c r="AP58" i="1"/>
  <c r="AP79" i="1"/>
  <c r="AR30" i="1"/>
  <c r="AP30" i="1" s="1"/>
  <c r="F22" i="9"/>
  <c r="D22" i="9" s="1"/>
  <c r="U202" i="1"/>
  <c r="AR208" i="1"/>
  <c r="AQ242" i="1" l="1"/>
  <c r="AR243" i="1" s="1"/>
  <c r="AQ154" i="1"/>
  <c r="AR68" i="1"/>
  <c r="AQ331" i="1"/>
  <c r="AR332" i="1" s="1"/>
  <c r="AR69" i="1"/>
  <c r="AP71" i="1"/>
  <c r="AP70" i="1"/>
  <c r="AP69" i="1"/>
  <c r="AP68" i="1"/>
  <c r="AR67" i="1"/>
  <c r="AP67" i="1"/>
  <c r="AR48" i="1"/>
  <c r="AP48" i="1"/>
  <c r="AP50" i="1"/>
  <c r="AP49" i="1"/>
  <c r="AP255" i="1"/>
  <c r="AR47" i="1"/>
  <c r="AP47" i="1"/>
  <c r="AR49" i="1"/>
  <c r="AQ134" i="1"/>
  <c r="AP258" i="1"/>
  <c r="AP51" i="1"/>
  <c r="AQ222" i="1"/>
  <c r="AR223" i="1" s="1"/>
  <c r="AP257" i="1"/>
  <c r="AQ311" i="1"/>
  <c r="AR253" i="1"/>
  <c r="AR255" i="1"/>
  <c r="AP38" i="1"/>
  <c r="AP39" i="1"/>
  <c r="AQ301" i="1"/>
  <c r="AR303" i="1" s="1"/>
  <c r="AP40" i="1"/>
  <c r="AQ124" i="1"/>
  <c r="AR254" i="1"/>
  <c r="AP254" i="1"/>
  <c r="AR39" i="1"/>
  <c r="AP37" i="1"/>
  <c r="AQ212" i="1"/>
  <c r="AR214" i="1" s="1"/>
  <c r="AP327" i="1"/>
  <c r="AP150" i="1" s="1"/>
  <c r="AR36" i="1"/>
  <c r="AP324" i="1"/>
  <c r="AP147" i="1" s="1"/>
  <c r="AP323" i="1"/>
  <c r="AP146" i="1" s="1"/>
  <c r="AP41" i="1"/>
  <c r="AR38" i="1"/>
  <c r="AR324" i="1"/>
  <c r="AR147" i="1" s="1"/>
  <c r="AR325" i="1"/>
  <c r="AR148" i="1" s="1"/>
  <c r="AR323" i="1"/>
  <c r="AR146" i="1" s="1"/>
  <c r="AP325" i="1"/>
  <c r="AP148" i="1" s="1"/>
  <c r="AR322" i="1"/>
  <c r="AR145" i="1" s="1"/>
  <c r="AR342" i="1"/>
  <c r="AR165" i="1" s="1"/>
  <c r="AP347" i="1"/>
  <c r="AP170" i="1" s="1"/>
  <c r="AP149" i="1"/>
  <c r="AP346" i="1"/>
  <c r="AP169" i="1" s="1"/>
  <c r="AP344" i="1"/>
  <c r="AP167" i="1" s="1"/>
  <c r="AR344" i="1"/>
  <c r="AR167" i="1" s="1"/>
  <c r="AR233" i="1"/>
  <c r="AP234" i="1"/>
  <c r="AR234" i="1"/>
  <c r="AP236" i="1"/>
  <c r="AR236" i="1"/>
  <c r="AR343" i="1"/>
  <c r="AR166" i="1" s="1"/>
  <c r="AP235" i="1"/>
  <c r="AR345" i="1"/>
  <c r="AR168" i="1" s="1"/>
  <c r="AP345" i="1"/>
  <c r="AP168" i="1" s="1"/>
  <c r="AP238" i="1"/>
  <c r="AR235" i="1"/>
  <c r="AP343" i="1"/>
  <c r="AP166" i="1" s="1"/>
  <c r="AP56" i="1"/>
  <c r="AP322" i="1" s="1"/>
  <c r="AP256" i="1"/>
  <c r="AP76" i="1"/>
  <c r="AP342" i="1" s="1"/>
  <c r="AP28" i="1"/>
  <c r="AP29" i="1"/>
  <c r="AP27" i="1"/>
  <c r="AP31" i="1"/>
  <c r="AR26" i="1"/>
  <c r="AQ202" i="1"/>
  <c r="AP207" i="1" s="1"/>
  <c r="AQ114" i="1"/>
  <c r="AR29" i="1"/>
  <c r="AR27" i="1"/>
  <c r="AQ291" i="1"/>
  <c r="AP296" i="1" s="1"/>
  <c r="AR28" i="1"/>
  <c r="AP335" i="1" l="1"/>
  <c r="AP158" i="1" s="1"/>
  <c r="AR333" i="1"/>
  <c r="AR156" i="1" s="1"/>
  <c r="AP336" i="1"/>
  <c r="AP159" i="1" s="1"/>
  <c r="AP334" i="1"/>
  <c r="AP157" i="1" s="1"/>
  <c r="AP337" i="1"/>
  <c r="AP160" i="1" s="1"/>
  <c r="AP248" i="1"/>
  <c r="AP244" i="1"/>
  <c r="AP247" i="1"/>
  <c r="AP246" i="1"/>
  <c r="AR155" i="1"/>
  <c r="AR246" i="1"/>
  <c r="AR245" i="1"/>
  <c r="AR334" i="1"/>
  <c r="AR157" i="1" s="1"/>
  <c r="AR335" i="1"/>
  <c r="AR158" i="1" s="1"/>
  <c r="AR244" i="1"/>
  <c r="AR224" i="1"/>
  <c r="AP245" i="1"/>
  <c r="AP333" i="1"/>
  <c r="AP156" i="1" s="1"/>
  <c r="AP66" i="1"/>
  <c r="AP332" i="1" s="1"/>
  <c r="AP46" i="1"/>
  <c r="AP223" i="1" s="1"/>
  <c r="AR314" i="1"/>
  <c r="AR137" i="1" s="1"/>
  <c r="AP227" i="1"/>
  <c r="AP228" i="1"/>
  <c r="AP225" i="1"/>
  <c r="AR226" i="1"/>
  <c r="AP316" i="1"/>
  <c r="AP139" i="1" s="1"/>
  <c r="AP226" i="1"/>
  <c r="AP224" i="1"/>
  <c r="AP315" i="1"/>
  <c r="AP138" i="1" s="1"/>
  <c r="AR313" i="1"/>
  <c r="AR136" i="1" s="1"/>
  <c r="AR225" i="1"/>
  <c r="AR126" i="1"/>
  <c r="AP306" i="1"/>
  <c r="AP129" i="1" s="1"/>
  <c r="AP317" i="1"/>
  <c r="AP140" i="1" s="1"/>
  <c r="AR305" i="1"/>
  <c r="AR128" i="1" s="1"/>
  <c r="AR315" i="1"/>
  <c r="AR138" i="1" s="1"/>
  <c r="AP313" i="1"/>
  <c r="AP136" i="1" s="1"/>
  <c r="AR312" i="1"/>
  <c r="AR135" i="1" s="1"/>
  <c r="AP314" i="1"/>
  <c r="AP137" i="1" s="1"/>
  <c r="AP305" i="1"/>
  <c r="AP128" i="1" s="1"/>
  <c r="AP303" i="1"/>
  <c r="AP126" i="1" s="1"/>
  <c r="AR216" i="1"/>
  <c r="AR213" i="1"/>
  <c r="AP217" i="1"/>
  <c r="AP307" i="1"/>
  <c r="AP130" i="1" s="1"/>
  <c r="AP215" i="1"/>
  <c r="AR302" i="1"/>
  <c r="AR125" i="1" s="1"/>
  <c r="AP214" i="1"/>
  <c r="AR215" i="1"/>
  <c r="AP216" i="1"/>
  <c r="AP304" i="1"/>
  <c r="AP127" i="1" s="1"/>
  <c r="AR304" i="1"/>
  <c r="AR127" i="1" s="1"/>
  <c r="AP36" i="1"/>
  <c r="AP302" i="1" s="1"/>
  <c r="AP125" i="1" s="1"/>
  <c r="AP218" i="1"/>
  <c r="AR326" i="1"/>
  <c r="AV321" i="1" s="1"/>
  <c r="AW322" i="1" s="1"/>
  <c r="BB322" i="1" s="1"/>
  <c r="Z322" i="1" s="1"/>
  <c r="W46" i="9" s="1"/>
  <c r="AP233" i="1"/>
  <c r="AR237" i="1" s="1"/>
  <c r="AV232" i="1" s="1"/>
  <c r="AR346" i="1"/>
  <c r="AV341" i="1" s="1"/>
  <c r="AW342" i="1" s="1"/>
  <c r="BB342" i="1" s="1"/>
  <c r="Z342" i="1" s="1"/>
  <c r="W62" i="9" s="1"/>
  <c r="AP145" i="1"/>
  <c r="AR149" i="1" s="1"/>
  <c r="AV144" i="1" s="1"/>
  <c r="AW145" i="1" s="1"/>
  <c r="BB145" i="1" s="1"/>
  <c r="AP165" i="1"/>
  <c r="AR169" i="1" s="1"/>
  <c r="AV164" i="1" s="1"/>
  <c r="AW166" i="1" s="1"/>
  <c r="BB166" i="1" s="1"/>
  <c r="AP253" i="1"/>
  <c r="AR257" i="1" s="1"/>
  <c r="AV252" i="1" s="1"/>
  <c r="AU258" i="1" s="1"/>
  <c r="AZ258" i="1" s="1"/>
  <c r="X258" i="1" s="1"/>
  <c r="Q67" i="9" s="1"/>
  <c r="AR203" i="1"/>
  <c r="AP206" i="1"/>
  <c r="AR205" i="1"/>
  <c r="AR204" i="1"/>
  <c r="AP205" i="1"/>
  <c r="AR295" i="1"/>
  <c r="AR292" i="1"/>
  <c r="AP208" i="1"/>
  <c r="AR293" i="1"/>
  <c r="AR206" i="1"/>
  <c r="AR294" i="1"/>
  <c r="AP26" i="1"/>
  <c r="AP292" i="1" s="1"/>
  <c r="AP204" i="1"/>
  <c r="AP295" i="1"/>
  <c r="AP294" i="1"/>
  <c r="AP293" i="1"/>
  <c r="AP297" i="1"/>
  <c r="AP119" i="1"/>
  <c r="AP312" i="1" l="1"/>
  <c r="AR316" i="1" s="1"/>
  <c r="AV311" i="1" s="1"/>
  <c r="AU316" i="1" s="1"/>
  <c r="AZ316" i="1" s="1"/>
  <c r="X316" i="1" s="1"/>
  <c r="U42" i="9" s="1"/>
  <c r="AP155" i="1"/>
  <c r="AR159" i="1" s="1"/>
  <c r="AV154" i="1" s="1"/>
  <c r="AP243" i="1"/>
  <c r="AR247" i="1" s="1"/>
  <c r="AV242" i="1" s="1"/>
  <c r="AU247" i="1" s="1"/>
  <c r="AZ247" i="1" s="1"/>
  <c r="X247" i="1" s="1"/>
  <c r="Q58" i="9" s="1"/>
  <c r="AR336" i="1"/>
  <c r="AV331" i="1" s="1"/>
  <c r="AU335" i="1" s="1"/>
  <c r="AZ335" i="1" s="1"/>
  <c r="X335" i="1" s="1"/>
  <c r="U57" i="9" s="1"/>
  <c r="AU342" i="1"/>
  <c r="AZ342" i="1" s="1"/>
  <c r="AW344" i="1"/>
  <c r="BB344" i="1" s="1"/>
  <c r="Z344" i="1" s="1"/>
  <c r="W64" i="9" s="1"/>
  <c r="AW165" i="1"/>
  <c r="BB165" i="1" s="1"/>
  <c r="Z165" i="1" s="1"/>
  <c r="O62" i="9" s="1"/>
  <c r="AW148" i="1"/>
  <c r="BB148" i="1" s="1"/>
  <c r="Z148" i="1" s="1"/>
  <c r="O49" i="9" s="1"/>
  <c r="AU150" i="1"/>
  <c r="AZ150" i="1" s="1"/>
  <c r="X150" i="1" s="1"/>
  <c r="M51" i="9" s="1"/>
  <c r="AW147" i="1"/>
  <c r="BB147" i="1" s="1"/>
  <c r="Z147" i="1" s="1"/>
  <c r="O48" i="9" s="1"/>
  <c r="AU146" i="1"/>
  <c r="AZ146" i="1" s="1"/>
  <c r="X146" i="1" s="1"/>
  <c r="M47" i="9" s="1"/>
  <c r="AU169" i="1"/>
  <c r="AZ169" i="1" s="1"/>
  <c r="X169" i="1" s="1"/>
  <c r="M66" i="9" s="1"/>
  <c r="AU145" i="1"/>
  <c r="AZ145" i="1" s="1"/>
  <c r="X145" i="1" s="1"/>
  <c r="M46" i="9" s="1"/>
  <c r="AR306" i="1"/>
  <c r="AV301" i="1" s="1"/>
  <c r="AW302" i="1" s="1"/>
  <c r="BB302" i="1" s="1"/>
  <c r="Z302" i="1" s="1"/>
  <c r="W30" i="9" s="1"/>
  <c r="AP213" i="1"/>
  <c r="AR217" i="1" s="1"/>
  <c r="AV212" i="1" s="1"/>
  <c r="AU215" i="1" s="1"/>
  <c r="AZ215" i="1" s="1"/>
  <c r="X215" i="1" s="1"/>
  <c r="Q32" i="9" s="1"/>
  <c r="AU257" i="1"/>
  <c r="AZ257" i="1" s="1"/>
  <c r="X257" i="1" s="1"/>
  <c r="Q66" i="9" s="1"/>
  <c r="AU165" i="1"/>
  <c r="AZ165" i="1" s="1"/>
  <c r="AU256" i="1"/>
  <c r="AZ256" i="1" s="1"/>
  <c r="X256" i="1" s="1"/>
  <c r="Q65" i="9" s="1"/>
  <c r="AR129" i="1"/>
  <c r="AV124" i="1" s="1"/>
  <c r="AU128" i="1" s="1"/>
  <c r="AZ128" i="1" s="1"/>
  <c r="X128" i="1" s="1"/>
  <c r="M33" i="9" s="1"/>
  <c r="AW168" i="1"/>
  <c r="BB168" i="1" s="1"/>
  <c r="Z168" i="1" s="1"/>
  <c r="O65" i="9" s="1"/>
  <c r="AU345" i="1"/>
  <c r="AZ345" i="1" s="1"/>
  <c r="X345" i="1" s="1"/>
  <c r="U65" i="9" s="1"/>
  <c r="AU347" i="1"/>
  <c r="AZ347" i="1" s="1"/>
  <c r="X347" i="1" s="1"/>
  <c r="U67" i="9" s="1"/>
  <c r="AU343" i="1"/>
  <c r="AZ343" i="1" s="1"/>
  <c r="X343" i="1" s="1"/>
  <c r="U63" i="9" s="1"/>
  <c r="AU253" i="1"/>
  <c r="AZ253" i="1" s="1"/>
  <c r="X253" i="1" s="1"/>
  <c r="Q62" i="9" s="1"/>
  <c r="AW256" i="1"/>
  <c r="BB256" i="1" s="1"/>
  <c r="Z256" i="1" s="1"/>
  <c r="S65" i="9" s="1"/>
  <c r="AU344" i="1"/>
  <c r="AZ344" i="1" s="1"/>
  <c r="X344" i="1" s="1"/>
  <c r="AW324" i="1"/>
  <c r="BB324" i="1" s="1"/>
  <c r="Z324" i="1" s="1"/>
  <c r="W48" i="9" s="1"/>
  <c r="AU324" i="1"/>
  <c r="AZ324" i="1" s="1"/>
  <c r="X324" i="1" s="1"/>
  <c r="U48" i="9" s="1"/>
  <c r="AU325" i="1"/>
  <c r="AZ325" i="1" s="1"/>
  <c r="X325" i="1" s="1"/>
  <c r="U49" i="9" s="1"/>
  <c r="AU327" i="1"/>
  <c r="AZ327" i="1" s="1"/>
  <c r="X327" i="1" s="1"/>
  <c r="U51" i="9" s="1"/>
  <c r="AU326" i="1"/>
  <c r="AZ326" i="1" s="1"/>
  <c r="X326" i="1" s="1"/>
  <c r="U50" i="9" s="1"/>
  <c r="AW343" i="1"/>
  <c r="BB343" i="1" s="1"/>
  <c r="Z343" i="1" s="1"/>
  <c r="W63" i="9" s="1"/>
  <c r="AW323" i="1"/>
  <c r="BB323" i="1" s="1"/>
  <c r="Z323" i="1" s="1"/>
  <c r="W47" i="9" s="1"/>
  <c r="AW56" i="1"/>
  <c r="BB56" i="1" s="1"/>
  <c r="Z56" i="1" s="1"/>
  <c r="K46" i="9" s="1"/>
  <c r="AU322" i="1"/>
  <c r="AZ322" i="1" s="1"/>
  <c r="AU323" i="1"/>
  <c r="AZ323" i="1" s="1"/>
  <c r="X323" i="1" s="1"/>
  <c r="U47" i="9" s="1"/>
  <c r="AW345" i="1"/>
  <c r="BB345" i="1" s="1"/>
  <c r="Z345" i="1" s="1"/>
  <c r="W65" i="9" s="1"/>
  <c r="AW325" i="1"/>
  <c r="BB325" i="1" s="1"/>
  <c r="Z325" i="1" s="1"/>
  <c r="W49" i="9" s="1"/>
  <c r="Z145" i="1"/>
  <c r="O46" i="9" s="1"/>
  <c r="AU149" i="1"/>
  <c r="AZ149" i="1" s="1"/>
  <c r="X149" i="1" s="1"/>
  <c r="M50" i="9" s="1"/>
  <c r="AU147" i="1"/>
  <c r="AZ147" i="1" s="1"/>
  <c r="X147" i="1" s="1"/>
  <c r="M48" i="9" s="1"/>
  <c r="AU346" i="1"/>
  <c r="AZ346" i="1" s="1"/>
  <c r="X346" i="1" s="1"/>
  <c r="U66" i="9" s="1"/>
  <c r="AU237" i="1"/>
  <c r="AZ237" i="1" s="1"/>
  <c r="X237" i="1" s="1"/>
  <c r="Q50" i="9" s="1"/>
  <c r="AW233" i="1"/>
  <c r="BB233" i="1" s="1"/>
  <c r="Z233" i="1" s="1"/>
  <c r="S46" i="9" s="1"/>
  <c r="AU236" i="1"/>
  <c r="AZ236" i="1" s="1"/>
  <c r="X236" i="1" s="1"/>
  <c r="Q49" i="9" s="1"/>
  <c r="AW236" i="1"/>
  <c r="BB236" i="1" s="1"/>
  <c r="Z236" i="1" s="1"/>
  <c r="S49" i="9" s="1"/>
  <c r="AU233" i="1"/>
  <c r="AZ233" i="1" s="1"/>
  <c r="X233" i="1" s="1"/>
  <c r="Q46" i="9" s="1"/>
  <c r="AW235" i="1"/>
  <c r="BB235" i="1" s="1"/>
  <c r="Z235" i="1" s="1"/>
  <c r="S48" i="9" s="1"/>
  <c r="AU238" i="1"/>
  <c r="AZ238" i="1" s="1"/>
  <c r="X238" i="1" s="1"/>
  <c r="Q51" i="9" s="1"/>
  <c r="AU234" i="1"/>
  <c r="AZ234" i="1" s="1"/>
  <c r="X234" i="1" s="1"/>
  <c r="Q47" i="9" s="1"/>
  <c r="AW234" i="1"/>
  <c r="BB234" i="1" s="1"/>
  <c r="Z234" i="1" s="1"/>
  <c r="S47" i="9" s="1"/>
  <c r="AU254" i="1"/>
  <c r="AZ254" i="1" s="1"/>
  <c r="X254" i="1" s="1"/>
  <c r="Q63" i="9" s="1"/>
  <c r="AU166" i="1"/>
  <c r="AZ166" i="1" s="1"/>
  <c r="X166" i="1" s="1"/>
  <c r="M63" i="9" s="1"/>
  <c r="AU255" i="1"/>
  <c r="AZ255" i="1" s="1"/>
  <c r="X255" i="1" s="1"/>
  <c r="Q64" i="9" s="1"/>
  <c r="AU168" i="1"/>
  <c r="AZ168" i="1" s="1"/>
  <c r="X168" i="1" s="1"/>
  <c r="M65" i="9" s="1"/>
  <c r="AU167" i="1"/>
  <c r="AZ167" i="1" s="1"/>
  <c r="X167" i="1" s="1"/>
  <c r="M64" i="9" s="1"/>
  <c r="AW253" i="1"/>
  <c r="BB253" i="1" s="1"/>
  <c r="Z253" i="1" s="1"/>
  <c r="S62" i="9" s="1"/>
  <c r="AU170" i="1"/>
  <c r="AZ170" i="1" s="1"/>
  <c r="AU235" i="1"/>
  <c r="AZ235" i="1" s="1"/>
  <c r="X235" i="1" s="1"/>
  <c r="Q48" i="9" s="1"/>
  <c r="AW254" i="1"/>
  <c r="BB254" i="1" s="1"/>
  <c r="Z254" i="1" s="1"/>
  <c r="S63" i="9" s="1"/>
  <c r="AW167" i="1"/>
  <c r="BB167" i="1" s="1"/>
  <c r="Z167" i="1" s="1"/>
  <c r="O64" i="9" s="1"/>
  <c r="AW146" i="1"/>
  <c r="BB146" i="1" s="1"/>
  <c r="Z146" i="1" s="1"/>
  <c r="O47" i="9" s="1"/>
  <c r="AU148" i="1"/>
  <c r="AZ148" i="1" s="1"/>
  <c r="X148" i="1" s="1"/>
  <c r="M49" i="9" s="1"/>
  <c r="AW255" i="1"/>
  <c r="BB255" i="1" s="1"/>
  <c r="Z255" i="1" s="1"/>
  <c r="S64" i="9" s="1"/>
  <c r="AR117" i="1"/>
  <c r="AR116" i="1"/>
  <c r="AR115" i="1"/>
  <c r="AP118" i="1"/>
  <c r="AP120" i="1"/>
  <c r="AP117" i="1"/>
  <c r="AP203" i="1"/>
  <c r="AP115" i="1" s="1"/>
  <c r="AR118" i="1"/>
  <c r="AR296" i="1"/>
  <c r="AV291" i="1" s="1"/>
  <c r="AU294" i="1" s="1"/>
  <c r="AZ294" i="1" s="1"/>
  <c r="X294" i="1" s="1"/>
  <c r="U24" i="9" s="1"/>
  <c r="AP116" i="1"/>
  <c r="Z166" i="1"/>
  <c r="O63" i="9" s="1"/>
  <c r="AR227" i="1"/>
  <c r="AV222" i="1" s="1"/>
  <c r="AP135" i="1" l="1"/>
  <c r="AR139" i="1" s="1"/>
  <c r="AV134" i="1" s="1"/>
  <c r="AW136" i="1" s="1"/>
  <c r="BB136" i="1" s="1"/>
  <c r="AU158" i="1"/>
  <c r="AZ158" i="1" s="1"/>
  <c r="X158" i="1" s="1"/>
  <c r="M57" i="9" s="1"/>
  <c r="AU160" i="1"/>
  <c r="AZ160" i="1" s="1"/>
  <c r="X160" i="1" s="1"/>
  <c r="M59" i="9" s="1"/>
  <c r="AW158" i="1"/>
  <c r="BB158" i="1" s="1"/>
  <c r="Z158" i="1" s="1"/>
  <c r="O57" i="9" s="1"/>
  <c r="AW157" i="1"/>
  <c r="BB157" i="1" s="1"/>
  <c r="Z157" i="1" s="1"/>
  <c r="O56" i="9" s="1"/>
  <c r="AU157" i="1"/>
  <c r="AZ157" i="1" s="1"/>
  <c r="X157" i="1" s="1"/>
  <c r="M56" i="9" s="1"/>
  <c r="AU243" i="1"/>
  <c r="AZ243" i="1" s="1"/>
  <c r="AU248" i="1"/>
  <c r="AZ248" i="1" s="1"/>
  <c r="X248" i="1" s="1"/>
  <c r="Q59" i="9" s="1"/>
  <c r="AU337" i="1"/>
  <c r="AZ337" i="1" s="1"/>
  <c r="X337" i="1" s="1"/>
  <c r="U59" i="9" s="1"/>
  <c r="AU155" i="1"/>
  <c r="AZ155" i="1" s="1"/>
  <c r="AW333" i="1"/>
  <c r="BB333" i="1" s="1"/>
  <c r="Z333" i="1" s="1"/>
  <c r="W55" i="9" s="1"/>
  <c r="AW155" i="1"/>
  <c r="BB155" i="1" s="1"/>
  <c r="Z155" i="1" s="1"/>
  <c r="O54" i="9" s="1"/>
  <c r="AW335" i="1"/>
  <c r="BB335" i="1" s="1"/>
  <c r="Z335" i="1" s="1"/>
  <c r="W57" i="9" s="1"/>
  <c r="AU159" i="1"/>
  <c r="AZ159" i="1" s="1"/>
  <c r="X159" i="1" s="1"/>
  <c r="M58" i="9" s="1"/>
  <c r="AW332" i="1"/>
  <c r="BB332" i="1" s="1"/>
  <c r="Z332" i="1" s="1"/>
  <c r="W54" i="9" s="1"/>
  <c r="AW156" i="1"/>
  <c r="BB156" i="1" s="1"/>
  <c r="Z156" i="1" s="1"/>
  <c r="O55" i="9" s="1"/>
  <c r="AU333" i="1"/>
  <c r="AZ333" i="1" s="1"/>
  <c r="X333" i="1" s="1"/>
  <c r="U55" i="9" s="1"/>
  <c r="AU156" i="1"/>
  <c r="AZ156" i="1" s="1"/>
  <c r="X156" i="1" s="1"/>
  <c r="M55" i="9" s="1"/>
  <c r="AU336" i="1"/>
  <c r="AZ336" i="1" s="1"/>
  <c r="X336" i="1" s="1"/>
  <c r="U58" i="9" s="1"/>
  <c r="AU245" i="1"/>
  <c r="AZ245" i="1" s="1"/>
  <c r="X245" i="1" s="1"/>
  <c r="Q56" i="9" s="1"/>
  <c r="AW244" i="1"/>
  <c r="BB244" i="1" s="1"/>
  <c r="Z244" i="1" s="1"/>
  <c r="S55" i="9" s="1"/>
  <c r="AW246" i="1"/>
  <c r="BB246" i="1" s="1"/>
  <c r="Z246" i="1" s="1"/>
  <c r="S57" i="9" s="1"/>
  <c r="AU246" i="1"/>
  <c r="AZ246" i="1" s="1"/>
  <c r="X246" i="1" s="1"/>
  <c r="Q57" i="9" s="1"/>
  <c r="AU244" i="1"/>
  <c r="AZ244" i="1" s="1"/>
  <c r="X244" i="1" s="1"/>
  <c r="Q55" i="9" s="1"/>
  <c r="AW245" i="1"/>
  <c r="BB245" i="1" s="1"/>
  <c r="Z245" i="1" s="1"/>
  <c r="S56" i="9" s="1"/>
  <c r="AW313" i="1"/>
  <c r="BB313" i="1" s="1"/>
  <c r="Z313" i="1" s="1"/>
  <c r="W39" i="9" s="1"/>
  <c r="AW243" i="1"/>
  <c r="BB243" i="1" s="1"/>
  <c r="Z243" i="1" s="1"/>
  <c r="S54" i="9" s="1"/>
  <c r="AU312" i="1"/>
  <c r="AZ312" i="1" s="1"/>
  <c r="AW315" i="1"/>
  <c r="BB315" i="1" s="1"/>
  <c r="Z315" i="1" s="1"/>
  <c r="W41" i="9" s="1"/>
  <c r="AW334" i="1"/>
  <c r="BB334" i="1" s="1"/>
  <c r="Z334" i="1" s="1"/>
  <c r="W56" i="9" s="1"/>
  <c r="AU332" i="1"/>
  <c r="AZ332" i="1" s="1"/>
  <c r="AU334" i="1"/>
  <c r="AZ334" i="1" s="1"/>
  <c r="X334" i="1" s="1"/>
  <c r="U56" i="9" s="1"/>
  <c r="AU81" i="1"/>
  <c r="AZ81" i="1" s="1"/>
  <c r="X81" i="1" s="1"/>
  <c r="I67" i="9" s="1"/>
  <c r="AW312" i="1"/>
  <c r="BB312" i="1" s="1"/>
  <c r="Z312" i="1" s="1"/>
  <c r="W38" i="9" s="1"/>
  <c r="AU314" i="1"/>
  <c r="AZ314" i="1" s="1"/>
  <c r="X314" i="1" s="1"/>
  <c r="U40" i="9" s="1"/>
  <c r="AU313" i="1"/>
  <c r="AZ313" i="1" s="1"/>
  <c r="X313" i="1" s="1"/>
  <c r="U39" i="9" s="1"/>
  <c r="AW314" i="1"/>
  <c r="BB314" i="1" s="1"/>
  <c r="Z314" i="1" s="1"/>
  <c r="W40" i="9" s="1"/>
  <c r="AU315" i="1"/>
  <c r="AZ315" i="1" s="1"/>
  <c r="X315" i="1" s="1"/>
  <c r="U41" i="9" s="1"/>
  <c r="AU317" i="1"/>
  <c r="AZ317" i="1" s="1"/>
  <c r="X317" i="1" s="1"/>
  <c r="U43" i="9" s="1"/>
  <c r="AU126" i="1"/>
  <c r="AZ126" i="1" s="1"/>
  <c r="X126" i="1" s="1"/>
  <c r="M31" i="9" s="1"/>
  <c r="AW76" i="1"/>
  <c r="BB76" i="1" s="1"/>
  <c r="Z76" i="1" s="1"/>
  <c r="K62" i="9" s="1"/>
  <c r="AA62" i="9" s="1"/>
  <c r="AW125" i="1"/>
  <c r="BB125" i="1" s="1"/>
  <c r="Z125" i="1" s="1"/>
  <c r="O30" i="9" s="1"/>
  <c r="AU130" i="1"/>
  <c r="AZ130" i="1" s="1"/>
  <c r="X130" i="1" s="1"/>
  <c r="M35" i="9" s="1"/>
  <c r="AW126" i="1"/>
  <c r="BB126" i="1" s="1"/>
  <c r="Z126" i="1" s="1"/>
  <c r="O31" i="9" s="1"/>
  <c r="AU129" i="1"/>
  <c r="AZ129" i="1" s="1"/>
  <c r="X129" i="1" s="1"/>
  <c r="M34" i="9" s="1"/>
  <c r="AW128" i="1"/>
  <c r="BB128" i="1" s="1"/>
  <c r="Z128" i="1" s="1"/>
  <c r="O33" i="9" s="1"/>
  <c r="AW127" i="1"/>
  <c r="BB127" i="1" s="1"/>
  <c r="Z127" i="1" s="1"/>
  <c r="O32" i="9" s="1"/>
  <c r="AW216" i="1"/>
  <c r="BB216" i="1" s="1"/>
  <c r="Z216" i="1" s="1"/>
  <c r="S33" i="9" s="1"/>
  <c r="AU125" i="1"/>
  <c r="AZ125" i="1" s="1"/>
  <c r="X125" i="1" s="1"/>
  <c r="M30" i="9" s="1"/>
  <c r="AU216" i="1"/>
  <c r="AZ216" i="1" s="1"/>
  <c r="X216" i="1" s="1"/>
  <c r="Q33" i="9" s="1"/>
  <c r="AU127" i="1"/>
  <c r="AZ127" i="1" s="1"/>
  <c r="X127" i="1" s="1"/>
  <c r="M32" i="9" s="1"/>
  <c r="AW214" i="1"/>
  <c r="BB214" i="1" s="1"/>
  <c r="Z214" i="1" s="1"/>
  <c r="S31" i="9" s="1"/>
  <c r="AU214" i="1"/>
  <c r="AZ214" i="1" s="1"/>
  <c r="X214" i="1" s="1"/>
  <c r="Q31" i="9" s="1"/>
  <c r="AU61" i="1"/>
  <c r="AZ61" i="1" s="1"/>
  <c r="X61" i="1" s="1"/>
  <c r="I51" i="9" s="1"/>
  <c r="Y51" i="9" s="1"/>
  <c r="AW305" i="1"/>
  <c r="BB305" i="1" s="1"/>
  <c r="Z305" i="1" s="1"/>
  <c r="W33" i="9" s="1"/>
  <c r="AU305" i="1"/>
  <c r="AZ305" i="1" s="1"/>
  <c r="X305" i="1" s="1"/>
  <c r="U33" i="9" s="1"/>
  <c r="AU307" i="1"/>
  <c r="AZ307" i="1" s="1"/>
  <c r="X307" i="1" s="1"/>
  <c r="U35" i="9" s="1"/>
  <c r="AU302" i="1"/>
  <c r="AZ302" i="1" s="1"/>
  <c r="X302" i="1" s="1"/>
  <c r="U30" i="9" s="1"/>
  <c r="AW304" i="1"/>
  <c r="BB304" i="1" s="1"/>
  <c r="Z304" i="1" s="1"/>
  <c r="W32" i="9" s="1"/>
  <c r="AU306" i="1"/>
  <c r="AZ306" i="1" s="1"/>
  <c r="X306" i="1" s="1"/>
  <c r="U34" i="9" s="1"/>
  <c r="AU56" i="1"/>
  <c r="AZ56" i="1" s="1"/>
  <c r="X56" i="1" s="1"/>
  <c r="AU213" i="1"/>
  <c r="AZ213" i="1" s="1"/>
  <c r="X213" i="1" s="1"/>
  <c r="Q30" i="9" s="1"/>
  <c r="AU304" i="1"/>
  <c r="AZ304" i="1" s="1"/>
  <c r="X304" i="1" s="1"/>
  <c r="U32" i="9" s="1"/>
  <c r="AU60" i="1"/>
  <c r="AZ60" i="1" s="1"/>
  <c r="X60" i="1" s="1"/>
  <c r="I50" i="9" s="1"/>
  <c r="Y50" i="9" s="1"/>
  <c r="AW303" i="1"/>
  <c r="BB303" i="1" s="1"/>
  <c r="Z303" i="1" s="1"/>
  <c r="W31" i="9" s="1"/>
  <c r="AW213" i="1"/>
  <c r="BB213" i="1" s="1"/>
  <c r="Z213" i="1" s="1"/>
  <c r="S30" i="9" s="1"/>
  <c r="AW58" i="1"/>
  <c r="BB58" i="1" s="1"/>
  <c r="Z58" i="1" s="1"/>
  <c r="K48" i="9" s="1"/>
  <c r="AA48" i="9" s="1"/>
  <c r="AU303" i="1"/>
  <c r="AZ303" i="1" s="1"/>
  <c r="X303" i="1" s="1"/>
  <c r="U31" i="9" s="1"/>
  <c r="AU217" i="1"/>
  <c r="AZ217" i="1" s="1"/>
  <c r="X217" i="1" s="1"/>
  <c r="Q34" i="9" s="1"/>
  <c r="AW215" i="1"/>
  <c r="BB215" i="1" s="1"/>
  <c r="Z215" i="1" s="1"/>
  <c r="S32" i="9" s="1"/>
  <c r="AU218" i="1"/>
  <c r="AZ218" i="1" s="1"/>
  <c r="X218" i="1" s="1"/>
  <c r="Q35" i="9" s="1"/>
  <c r="A50" i="9"/>
  <c r="AU79" i="1"/>
  <c r="AZ79" i="1" s="1"/>
  <c r="X79" i="1" s="1"/>
  <c r="I65" i="9" s="1"/>
  <c r="Y65" i="9" s="1"/>
  <c r="AU80" i="1"/>
  <c r="AZ80" i="1" s="1"/>
  <c r="X80" i="1" s="1"/>
  <c r="I66" i="9" s="1"/>
  <c r="Y66" i="9" s="1"/>
  <c r="X170" i="1"/>
  <c r="M67" i="9" s="1"/>
  <c r="AA46" i="9"/>
  <c r="AW347" i="1"/>
  <c r="AW346" i="1"/>
  <c r="AW77" i="1"/>
  <c r="BB77" i="1" s="1"/>
  <c r="Z77" i="1" s="1"/>
  <c r="K63" i="9" s="1"/>
  <c r="AA63" i="9" s="1"/>
  <c r="AW59" i="1"/>
  <c r="BB59" i="1" s="1"/>
  <c r="Z59" i="1" s="1"/>
  <c r="K49" i="9" s="1"/>
  <c r="AA49" i="9" s="1"/>
  <c r="BQ49" i="9" s="1"/>
  <c r="AW326" i="1"/>
  <c r="AW327" i="1"/>
  <c r="AU58" i="1"/>
  <c r="AZ58" i="1" s="1"/>
  <c r="X58" i="1" s="1"/>
  <c r="I48" i="9" s="1"/>
  <c r="Y48" i="9" s="1"/>
  <c r="K321" i="1"/>
  <c r="AW79" i="1"/>
  <c r="BB79" i="1" s="1"/>
  <c r="Z79" i="1" s="1"/>
  <c r="K65" i="9" s="1"/>
  <c r="AA65" i="9" s="1"/>
  <c r="BQ65" i="9" s="1"/>
  <c r="BB326" i="1"/>
  <c r="Z326" i="1" s="1"/>
  <c r="X322" i="1"/>
  <c r="U46" i="9" s="1"/>
  <c r="AU57" i="1"/>
  <c r="AZ57" i="1" s="1"/>
  <c r="X57" i="1" s="1"/>
  <c r="I47" i="9" s="1"/>
  <c r="Y47" i="9" s="1"/>
  <c r="AW78" i="1"/>
  <c r="BB78" i="1" s="1"/>
  <c r="Z78" i="1" s="1"/>
  <c r="K64" i="9" s="1"/>
  <c r="AA64" i="9" s="1"/>
  <c r="AW237" i="1"/>
  <c r="BB149" i="1"/>
  <c r="Z149" i="1" s="1"/>
  <c r="AU78" i="1"/>
  <c r="AZ78" i="1" s="1"/>
  <c r="X78" i="1" s="1"/>
  <c r="I64" i="9" s="1"/>
  <c r="AW238" i="1"/>
  <c r="AU77" i="1"/>
  <c r="AZ77" i="1" s="1"/>
  <c r="X77" i="1" s="1"/>
  <c r="I63" i="9" s="1"/>
  <c r="Y63" i="9" s="1"/>
  <c r="AW170" i="1"/>
  <c r="BB257" i="1"/>
  <c r="Z257" i="1" s="1"/>
  <c r="AE257" i="1" s="1"/>
  <c r="BB237" i="1"/>
  <c r="Z237" i="1" s="1"/>
  <c r="AW169" i="1"/>
  <c r="AU59" i="1"/>
  <c r="AZ59" i="1" s="1"/>
  <c r="X59" i="1" s="1"/>
  <c r="I49" i="9" s="1"/>
  <c r="Y49" i="9" s="1"/>
  <c r="AW257" i="1"/>
  <c r="AW150" i="1"/>
  <c r="AW149" i="1"/>
  <c r="AW258" i="1"/>
  <c r="AW57" i="1"/>
  <c r="BB57" i="1" s="1"/>
  <c r="Z57" i="1" s="1"/>
  <c r="K47" i="9" s="1"/>
  <c r="AA47" i="9" s="1"/>
  <c r="AW292" i="1"/>
  <c r="BB292" i="1" s="1"/>
  <c r="Z292" i="1" s="1"/>
  <c r="W22" i="9" s="1"/>
  <c r="AU292" i="1"/>
  <c r="AZ292" i="1" s="1"/>
  <c r="X292" i="1" s="1"/>
  <c r="AW293" i="1"/>
  <c r="BB293" i="1" s="1"/>
  <c r="Z293" i="1" s="1"/>
  <c r="W23" i="9" s="1"/>
  <c r="AU293" i="1"/>
  <c r="AZ293" i="1" s="1"/>
  <c r="X293" i="1" s="1"/>
  <c r="AR119" i="1"/>
  <c r="AV114" i="1" s="1"/>
  <c r="AW117" i="1" s="1"/>
  <c r="BB117" i="1" s="1"/>
  <c r="Z117" i="1" s="1"/>
  <c r="O24" i="9" s="1"/>
  <c r="AR207" i="1"/>
  <c r="AV202" i="1" s="1"/>
  <c r="AW205" i="1" s="1"/>
  <c r="BB205" i="1" s="1"/>
  <c r="Z205" i="1" s="1"/>
  <c r="S24" i="9" s="1"/>
  <c r="AU297" i="1"/>
  <c r="AZ297" i="1" s="1"/>
  <c r="X297" i="1" s="1"/>
  <c r="U27" i="9" s="1"/>
  <c r="AW294" i="1"/>
  <c r="BB294" i="1" s="1"/>
  <c r="Z294" i="1" s="1"/>
  <c r="W24" i="9" s="1"/>
  <c r="AU295" i="1"/>
  <c r="AZ295" i="1" s="1"/>
  <c r="X295" i="1" s="1"/>
  <c r="U25" i="9" s="1"/>
  <c r="AW295" i="1"/>
  <c r="BB295" i="1" s="1"/>
  <c r="Z295" i="1" s="1"/>
  <c r="W25" i="9" s="1"/>
  <c r="AU296" i="1"/>
  <c r="AZ296" i="1" s="1"/>
  <c r="X296" i="1" s="1"/>
  <c r="U26" i="9" s="1"/>
  <c r="AW135" i="1"/>
  <c r="BB135" i="1" s="1"/>
  <c r="Z135" i="1" s="1"/>
  <c r="O38" i="9" s="1"/>
  <c r="AW137" i="1"/>
  <c r="BB137" i="1" s="1"/>
  <c r="Z137" i="1" s="1"/>
  <c r="O40" i="9" s="1"/>
  <c r="Z136" i="1"/>
  <c r="O39" i="9" s="1"/>
  <c r="X165" i="1"/>
  <c r="BB169" i="1"/>
  <c r="AU76" i="1"/>
  <c r="X342" i="1"/>
  <c r="BB346" i="1"/>
  <c r="K341" i="1"/>
  <c r="U64" i="9"/>
  <c r="AU225" i="1"/>
  <c r="AZ225" i="1" s="1"/>
  <c r="X225" i="1" s="1"/>
  <c r="Q40" i="9" s="1"/>
  <c r="AU227" i="1"/>
  <c r="AZ227" i="1" s="1"/>
  <c r="X227" i="1" s="1"/>
  <c r="Q42" i="9" s="1"/>
  <c r="AU226" i="1"/>
  <c r="AZ226" i="1" s="1"/>
  <c r="X226" i="1" s="1"/>
  <c r="Q41" i="9" s="1"/>
  <c r="AW225" i="1"/>
  <c r="BB225" i="1" s="1"/>
  <c r="Z225" i="1" s="1"/>
  <c r="S40" i="9" s="1"/>
  <c r="AU228" i="1"/>
  <c r="AZ228" i="1" s="1"/>
  <c r="X228" i="1" s="1"/>
  <c r="Q43" i="9" s="1"/>
  <c r="AW224" i="1"/>
  <c r="BB224" i="1" s="1"/>
  <c r="Z224" i="1" s="1"/>
  <c r="S39" i="9" s="1"/>
  <c r="AW223" i="1"/>
  <c r="BB223" i="1" s="1"/>
  <c r="Z223" i="1" s="1"/>
  <c r="S38" i="9" s="1"/>
  <c r="AU223" i="1"/>
  <c r="AU224" i="1"/>
  <c r="AZ224" i="1" s="1"/>
  <c r="X224" i="1" s="1"/>
  <c r="Q39" i="9" s="1"/>
  <c r="AW226" i="1"/>
  <c r="BB226" i="1" s="1"/>
  <c r="Z226" i="1" s="1"/>
  <c r="S41" i="9" s="1"/>
  <c r="AU135" i="1" l="1"/>
  <c r="AZ135" i="1" s="1"/>
  <c r="AU69" i="1"/>
  <c r="AZ69" i="1" s="1"/>
  <c r="X69" i="1" s="1"/>
  <c r="I57" i="9" s="1"/>
  <c r="Y57" i="9" s="1"/>
  <c r="AW138" i="1"/>
  <c r="BB138" i="1" s="1"/>
  <c r="AW49" i="1" s="1"/>
  <c r="BB49" i="1" s="1"/>
  <c r="Z49" i="1" s="1"/>
  <c r="K41" i="9" s="1"/>
  <c r="AW47" i="1"/>
  <c r="BB47" i="1" s="1"/>
  <c r="Z47" i="1" s="1"/>
  <c r="K39" i="9" s="1"/>
  <c r="AA39" i="9" s="1"/>
  <c r="AW69" i="1"/>
  <c r="BB69" i="1" s="1"/>
  <c r="Z69" i="1" s="1"/>
  <c r="K57" i="9" s="1"/>
  <c r="AA57" i="9" s="1"/>
  <c r="BQ57" i="9" s="1"/>
  <c r="AU136" i="1"/>
  <c r="AZ136" i="1" s="1"/>
  <c r="X136" i="1" s="1"/>
  <c r="M39" i="9" s="1"/>
  <c r="AU139" i="1"/>
  <c r="AZ139" i="1" s="1"/>
  <c r="X139" i="1" s="1"/>
  <c r="M42" i="9" s="1"/>
  <c r="AU67" i="1"/>
  <c r="AZ67" i="1" s="1"/>
  <c r="X67" i="1" s="1"/>
  <c r="I55" i="9" s="1"/>
  <c r="AU71" i="1"/>
  <c r="AZ71" i="1" s="1"/>
  <c r="X71" i="1" s="1"/>
  <c r="I59" i="9" s="1"/>
  <c r="Y59" i="9" s="1"/>
  <c r="K331" i="1"/>
  <c r="AW67" i="1"/>
  <c r="BB67" i="1" s="1"/>
  <c r="Z67" i="1" s="1"/>
  <c r="K55" i="9" s="1"/>
  <c r="AA55" i="9" s="1"/>
  <c r="AW68" i="1"/>
  <c r="BB68" i="1" s="1"/>
  <c r="Z68" i="1" s="1"/>
  <c r="K56" i="9" s="1"/>
  <c r="AA56" i="9" s="1"/>
  <c r="AU68" i="1"/>
  <c r="AZ68" i="1" s="1"/>
  <c r="X68" i="1" s="1"/>
  <c r="I56" i="9" s="1"/>
  <c r="Y56" i="9" s="1"/>
  <c r="AU70" i="1"/>
  <c r="AZ70" i="1" s="1"/>
  <c r="X70" i="1" s="1"/>
  <c r="I58" i="9" s="1"/>
  <c r="Y58" i="9" s="1"/>
  <c r="AU140" i="1"/>
  <c r="AZ140" i="1" s="1"/>
  <c r="X140" i="1" s="1"/>
  <c r="M43" i="9" s="1"/>
  <c r="AW66" i="1"/>
  <c r="BB66" i="1" s="1"/>
  <c r="Z66" i="1" s="1"/>
  <c r="K54" i="9" s="1"/>
  <c r="AA54" i="9" s="1"/>
  <c r="AU138" i="1"/>
  <c r="AZ138" i="1" s="1"/>
  <c r="X138" i="1" s="1"/>
  <c r="M41" i="9" s="1"/>
  <c r="AU137" i="1"/>
  <c r="AZ137" i="1" s="1"/>
  <c r="AU48" i="1" s="1"/>
  <c r="AZ48" i="1" s="1"/>
  <c r="X48" i="1" s="1"/>
  <c r="I40" i="9" s="1"/>
  <c r="AW160" i="1"/>
  <c r="AW159" i="1"/>
  <c r="AW247" i="1"/>
  <c r="AW248" i="1"/>
  <c r="Y67" i="9"/>
  <c r="BO66" i="9" s="1"/>
  <c r="A58" i="9"/>
  <c r="AW337" i="1"/>
  <c r="AW336" i="1"/>
  <c r="AW317" i="1"/>
  <c r="K311" i="1"/>
  <c r="A42" i="9"/>
  <c r="AW316" i="1"/>
  <c r="AW36" i="1"/>
  <c r="BB36" i="1" s="1"/>
  <c r="Z36" i="1" s="1"/>
  <c r="K30" i="9" s="1"/>
  <c r="AA30" i="9" s="1"/>
  <c r="AU39" i="1"/>
  <c r="AZ39" i="1" s="1"/>
  <c r="X39" i="1" s="1"/>
  <c r="I33" i="9" s="1"/>
  <c r="Y33" i="9" s="1"/>
  <c r="AW130" i="1"/>
  <c r="AW39" i="1"/>
  <c r="BB39" i="1" s="1"/>
  <c r="Z39" i="1" s="1"/>
  <c r="K33" i="9" s="1"/>
  <c r="AA33" i="9" s="1"/>
  <c r="BQ33" i="9" s="1"/>
  <c r="BB129" i="1"/>
  <c r="BB131" i="1" s="1"/>
  <c r="AW129" i="1"/>
  <c r="AU41" i="1"/>
  <c r="AZ41" i="1" s="1"/>
  <c r="X41" i="1" s="1"/>
  <c r="I35" i="9" s="1"/>
  <c r="Y35" i="9" s="1"/>
  <c r="AU36" i="1"/>
  <c r="AZ36" i="1" s="1"/>
  <c r="X36" i="1" s="1"/>
  <c r="I30" i="9" s="1"/>
  <c r="Y30" i="9" s="1"/>
  <c r="AU38" i="1"/>
  <c r="AZ38" i="1" s="1"/>
  <c r="X38" i="1" s="1"/>
  <c r="I32" i="9" s="1"/>
  <c r="Y32" i="9" s="1"/>
  <c r="AW38" i="1"/>
  <c r="BB38" i="1" s="1"/>
  <c r="Z38" i="1" s="1"/>
  <c r="K32" i="9" s="1"/>
  <c r="AA32" i="9" s="1"/>
  <c r="A34" i="9"/>
  <c r="K301" i="1"/>
  <c r="AU40" i="1"/>
  <c r="AZ40" i="1" s="1"/>
  <c r="X40" i="1" s="1"/>
  <c r="I34" i="9" s="1"/>
  <c r="Y34" i="9" s="1"/>
  <c r="AU37" i="1"/>
  <c r="AZ37" i="1" s="1"/>
  <c r="X37" i="1" s="1"/>
  <c r="I31" i="9" s="1"/>
  <c r="Y31" i="9" s="1"/>
  <c r="BB217" i="1"/>
  <c r="Z217" i="1" s="1"/>
  <c r="S34" i="9" s="1"/>
  <c r="AW218" i="1"/>
  <c r="AW306" i="1"/>
  <c r="AW217" i="1"/>
  <c r="AW307" i="1"/>
  <c r="BB306" i="1"/>
  <c r="Z306" i="1" s="1"/>
  <c r="AE306" i="1" s="1"/>
  <c r="AW37" i="1"/>
  <c r="BB37" i="1" s="1"/>
  <c r="Z37" i="1" s="1"/>
  <c r="K31" i="9" s="1"/>
  <c r="AA31" i="9" s="1"/>
  <c r="AE326" i="1"/>
  <c r="BB328" i="1"/>
  <c r="BB151" i="1"/>
  <c r="S66" i="9"/>
  <c r="AE256" i="1"/>
  <c r="AW60" i="1"/>
  <c r="BB60" i="1" s="1"/>
  <c r="Z60" i="1" s="1"/>
  <c r="AE60" i="1" s="1"/>
  <c r="U23" i="9"/>
  <c r="A26" i="9" s="1"/>
  <c r="K291" i="1"/>
  <c r="BO51" i="9"/>
  <c r="BQ46" i="9"/>
  <c r="BQ47" i="9"/>
  <c r="BQ48" i="9"/>
  <c r="BO49" i="9"/>
  <c r="BO47" i="9"/>
  <c r="BO50" i="9"/>
  <c r="BO48" i="9"/>
  <c r="AW203" i="1"/>
  <c r="BB203" i="1" s="1"/>
  <c r="Z203" i="1" s="1"/>
  <c r="S22" i="9" s="1"/>
  <c r="AU204" i="1"/>
  <c r="AZ204" i="1" s="1"/>
  <c r="X204" i="1" s="1"/>
  <c r="Q23" i="9" s="1"/>
  <c r="AU206" i="1"/>
  <c r="AZ206" i="1" s="1"/>
  <c r="X206" i="1" s="1"/>
  <c r="Q25" i="9" s="1"/>
  <c r="AU116" i="1"/>
  <c r="AZ116" i="1" s="1"/>
  <c r="X116" i="1" s="1"/>
  <c r="M23" i="9" s="1"/>
  <c r="AU118" i="1"/>
  <c r="AZ118" i="1" s="1"/>
  <c r="X118" i="1" s="1"/>
  <c r="M25" i="9" s="1"/>
  <c r="AW28" i="1"/>
  <c r="BB28" i="1" s="1"/>
  <c r="Z28" i="1" s="1"/>
  <c r="K24" i="9" s="1"/>
  <c r="AA24" i="9" s="1"/>
  <c r="AW115" i="1"/>
  <c r="BB115" i="1" s="1"/>
  <c r="Z115" i="1" s="1"/>
  <c r="O22" i="9" s="1"/>
  <c r="AU119" i="1"/>
  <c r="AZ119" i="1" s="1"/>
  <c r="X119" i="1" s="1"/>
  <c r="M26" i="9" s="1"/>
  <c r="AU115" i="1"/>
  <c r="AZ115" i="1" s="1"/>
  <c r="X115" i="1" s="1"/>
  <c r="M22" i="9" s="1"/>
  <c r="AU117" i="1"/>
  <c r="AZ117" i="1" s="1"/>
  <c r="X117" i="1" s="1"/>
  <c r="M24" i="9" s="1"/>
  <c r="AU205" i="1"/>
  <c r="AZ205" i="1" s="1"/>
  <c r="X205" i="1" s="1"/>
  <c r="Q24" i="9" s="1"/>
  <c r="AU207" i="1"/>
  <c r="AZ207" i="1" s="1"/>
  <c r="X207" i="1" s="1"/>
  <c r="Q26" i="9" s="1"/>
  <c r="AW206" i="1"/>
  <c r="BB206" i="1" s="1"/>
  <c r="Z206" i="1" s="1"/>
  <c r="S25" i="9" s="1"/>
  <c r="AW204" i="1"/>
  <c r="BB204" i="1" s="1"/>
  <c r="Z204" i="1" s="1"/>
  <c r="S23" i="9" s="1"/>
  <c r="AW118" i="1"/>
  <c r="BB118" i="1" s="1"/>
  <c r="Z118" i="1" s="1"/>
  <c r="O25" i="9" s="1"/>
  <c r="AW116" i="1"/>
  <c r="BB116" i="1" s="1"/>
  <c r="Z116" i="1" s="1"/>
  <c r="O23" i="9" s="1"/>
  <c r="AU203" i="1"/>
  <c r="AZ203" i="1" s="1"/>
  <c r="X203" i="1" s="1"/>
  <c r="AU120" i="1"/>
  <c r="AZ120" i="1" s="1"/>
  <c r="X120" i="1" s="1"/>
  <c r="M27" i="9" s="1"/>
  <c r="AU208" i="1"/>
  <c r="AZ208" i="1" s="1"/>
  <c r="X208" i="1" s="1"/>
  <c r="Q27" i="9" s="1"/>
  <c r="AW297" i="1"/>
  <c r="AW296" i="1"/>
  <c r="BB296" i="1"/>
  <c r="BB298" i="1" s="1"/>
  <c r="Y64" i="9"/>
  <c r="A66" i="9"/>
  <c r="Y55" i="9"/>
  <c r="AW48" i="1"/>
  <c r="BB48" i="1" s="1"/>
  <c r="Z48" i="1" s="1"/>
  <c r="K40" i="9" s="1"/>
  <c r="AA40" i="9" s="1"/>
  <c r="BQ63" i="9"/>
  <c r="BQ64" i="9"/>
  <c r="AW46" i="1"/>
  <c r="BB46" i="1" s="1"/>
  <c r="Z46" i="1" s="1"/>
  <c r="K38" i="9" s="1"/>
  <c r="AA38" i="9" s="1"/>
  <c r="BB348" i="1"/>
  <c r="Z346" i="1"/>
  <c r="AE346" i="1" s="1"/>
  <c r="AW227" i="1"/>
  <c r="AW228" i="1"/>
  <c r="AZ223" i="1"/>
  <c r="U22" i="9"/>
  <c r="I46" i="9"/>
  <c r="Y46" i="9" s="1"/>
  <c r="X155" i="1"/>
  <c r="BB159" i="1"/>
  <c r="AU66" i="1"/>
  <c r="BQ62" i="9"/>
  <c r="AZ76" i="1"/>
  <c r="X76" i="1" s="1"/>
  <c r="I62" i="9" s="1"/>
  <c r="AW80" i="1"/>
  <c r="U62" i="9"/>
  <c r="X332" i="1"/>
  <c r="BB336" i="1"/>
  <c r="X135" i="1"/>
  <c r="AU46" i="1"/>
  <c r="BB171" i="1"/>
  <c r="Z169" i="1"/>
  <c r="AE149" i="1"/>
  <c r="AE148" i="1"/>
  <c r="O50" i="9"/>
  <c r="W50" i="9"/>
  <c r="AE325" i="1"/>
  <c r="M62" i="9"/>
  <c r="S50" i="9"/>
  <c r="AE237" i="1"/>
  <c r="AE236" i="1"/>
  <c r="X312" i="1"/>
  <c r="BB316" i="1"/>
  <c r="X243" i="1"/>
  <c r="BB247" i="1"/>
  <c r="Z138" i="1" l="1"/>
  <c r="O41" i="9" s="1"/>
  <c r="AA41" i="9" s="1"/>
  <c r="BQ41" i="9" s="1"/>
  <c r="AU47" i="1"/>
  <c r="AZ47" i="1" s="1"/>
  <c r="X47" i="1" s="1"/>
  <c r="I39" i="9" s="1"/>
  <c r="Y39" i="9" s="1"/>
  <c r="AU50" i="1"/>
  <c r="AZ50" i="1" s="1"/>
  <c r="X50" i="1" s="1"/>
  <c r="I42" i="9" s="1"/>
  <c r="Y42" i="9" s="1"/>
  <c r="AU51" i="1"/>
  <c r="AZ51" i="1" s="1"/>
  <c r="X51" i="1" s="1"/>
  <c r="I43" i="9" s="1"/>
  <c r="Y43" i="9" s="1"/>
  <c r="BO67" i="9"/>
  <c r="AU49" i="1"/>
  <c r="AZ49" i="1" s="1"/>
  <c r="X49" i="1" s="1"/>
  <c r="I41" i="9" s="1"/>
  <c r="Y41" i="9" s="1"/>
  <c r="AW140" i="1"/>
  <c r="AW139" i="1"/>
  <c r="BB139" i="1"/>
  <c r="Z139" i="1" s="1"/>
  <c r="X137" i="1"/>
  <c r="M40" i="9" s="1"/>
  <c r="Y40" i="9" s="1"/>
  <c r="BO64" i="9"/>
  <c r="BO65" i="9"/>
  <c r="Z129" i="1"/>
  <c r="AE129" i="1" s="1"/>
  <c r="AE305" i="1"/>
  <c r="BB308" i="1"/>
  <c r="AW40" i="1"/>
  <c r="BB40" i="1" s="1"/>
  <c r="Z40" i="1" s="1"/>
  <c r="AE39" i="1" s="1"/>
  <c r="AE216" i="1"/>
  <c r="AE217" i="1"/>
  <c r="BO34" i="9"/>
  <c r="W34" i="9"/>
  <c r="AW62" i="1"/>
  <c r="BQ31" i="9"/>
  <c r="BQ30" i="9"/>
  <c r="BO31" i="9"/>
  <c r="BO35" i="9"/>
  <c r="BO33" i="9"/>
  <c r="BO32" i="9"/>
  <c r="BQ32" i="9"/>
  <c r="AU27" i="1"/>
  <c r="AZ27" i="1" s="1"/>
  <c r="X27" i="1" s="1"/>
  <c r="I23" i="9" s="1"/>
  <c r="Y23" i="9" s="1"/>
  <c r="AW26" i="1"/>
  <c r="BB26" i="1" s="1"/>
  <c r="Z26" i="1" s="1"/>
  <c r="K22" i="9" s="1"/>
  <c r="AA22" i="9" s="1"/>
  <c r="AU29" i="1"/>
  <c r="AZ29" i="1" s="1"/>
  <c r="X29" i="1" s="1"/>
  <c r="I25" i="9" s="1"/>
  <c r="Y25" i="9" s="1"/>
  <c r="AU30" i="1"/>
  <c r="AZ30" i="1" s="1"/>
  <c r="X30" i="1" s="1"/>
  <c r="I26" i="9" s="1"/>
  <c r="Y26" i="9" s="1"/>
  <c r="AW120" i="1"/>
  <c r="AU26" i="1"/>
  <c r="AZ26" i="1" s="1"/>
  <c r="X26" i="1" s="1"/>
  <c r="I22" i="9" s="1"/>
  <c r="AU28" i="1"/>
  <c r="AZ28" i="1" s="1"/>
  <c r="X28" i="1" s="1"/>
  <c r="I24" i="9" s="1"/>
  <c r="Y24" i="9" s="1"/>
  <c r="BB119" i="1"/>
  <c r="BB121" i="1" s="1"/>
  <c r="Z296" i="1"/>
  <c r="AE296" i="1" s="1"/>
  <c r="AW29" i="1"/>
  <c r="BB29" i="1" s="1"/>
  <c r="Z29" i="1" s="1"/>
  <c r="K25" i="9" s="1"/>
  <c r="AA25" i="9" s="1"/>
  <c r="BQ25" i="9" s="1"/>
  <c r="BB207" i="1"/>
  <c r="Z207" i="1" s="1"/>
  <c r="S26" i="9" s="1"/>
  <c r="AW207" i="1"/>
  <c r="AW27" i="1"/>
  <c r="BB27" i="1" s="1"/>
  <c r="Z27" i="1" s="1"/>
  <c r="K23" i="9" s="1"/>
  <c r="AA23" i="9" s="1"/>
  <c r="AU31" i="1"/>
  <c r="AZ31" i="1" s="1"/>
  <c r="X31" i="1" s="1"/>
  <c r="I27" i="9" s="1"/>
  <c r="Y27" i="9" s="1"/>
  <c r="AW119" i="1"/>
  <c r="AW208" i="1"/>
  <c r="BO63" i="9"/>
  <c r="BQ56" i="9"/>
  <c r="BO58" i="9"/>
  <c r="BQ55" i="9"/>
  <c r="BQ54" i="9"/>
  <c r="BQ40" i="9"/>
  <c r="BO56" i="9"/>
  <c r="BO59" i="9"/>
  <c r="BO57" i="9"/>
  <c r="BO55" i="9"/>
  <c r="Z247" i="1"/>
  <c r="AE247" i="1" s="1"/>
  <c r="AZ46" i="1"/>
  <c r="X46" i="1" s="1"/>
  <c r="I38" i="9" s="1"/>
  <c r="Q54" i="9"/>
  <c r="BB338" i="1"/>
  <c r="Z336" i="1"/>
  <c r="BB318" i="1"/>
  <c r="Z316" i="1"/>
  <c r="AE316" i="1" s="1"/>
  <c r="U54" i="9"/>
  <c r="AN46" i="9"/>
  <c r="BO46" i="9"/>
  <c r="AL51" i="9"/>
  <c r="AN47" i="9"/>
  <c r="AL49" i="9"/>
  <c r="AL46" i="9"/>
  <c r="AN49" i="9"/>
  <c r="AL48" i="9"/>
  <c r="AN48" i="9"/>
  <c r="AL50" i="9"/>
  <c r="AL47" i="9"/>
  <c r="U38" i="9"/>
  <c r="AN31" i="9"/>
  <c r="AL35" i="9"/>
  <c r="BO30" i="9"/>
  <c r="AN30" i="9"/>
  <c r="AL30" i="9"/>
  <c r="AL31" i="9"/>
  <c r="AL32" i="9"/>
  <c r="AN33" i="9"/>
  <c r="AL34" i="9"/>
  <c r="AN32" i="9"/>
  <c r="AL33" i="9"/>
  <c r="X223" i="1"/>
  <c r="BB227" i="1"/>
  <c r="M38" i="9"/>
  <c r="BB80" i="1"/>
  <c r="Z80" i="1" s="1"/>
  <c r="AW82" i="1"/>
  <c r="AE59" i="1"/>
  <c r="K50" i="9"/>
  <c r="AA50" i="9" s="1"/>
  <c r="AC51" i="9" s="1"/>
  <c r="AE345" i="1"/>
  <c r="W66" i="9"/>
  <c r="O66" i="9"/>
  <c r="AE168" i="1"/>
  <c r="Y62" i="9"/>
  <c r="Z159" i="1"/>
  <c r="AE159" i="1" s="1"/>
  <c r="BB161" i="1"/>
  <c r="M54" i="9"/>
  <c r="AE169" i="1"/>
  <c r="AZ66" i="1"/>
  <c r="X66" i="1" s="1"/>
  <c r="I54" i="9" s="1"/>
  <c r="AW70" i="1"/>
  <c r="Q22" i="9"/>
  <c r="BQ38" i="9" l="1"/>
  <c r="BO43" i="9"/>
  <c r="BQ39" i="9"/>
  <c r="BO42" i="9"/>
  <c r="AW50" i="1"/>
  <c r="AW52" i="1" s="1"/>
  <c r="BO41" i="9"/>
  <c r="BO40" i="9"/>
  <c r="BB141" i="1"/>
  <c r="BO39" i="9"/>
  <c r="AE128" i="1"/>
  <c r="O34" i="9"/>
  <c r="AW42" i="1"/>
  <c r="AE40" i="1"/>
  <c r="K34" i="9"/>
  <c r="Z119" i="1"/>
  <c r="AE118" i="1" s="1"/>
  <c r="AE295" i="1"/>
  <c r="BQ22" i="9"/>
  <c r="BQ23" i="9"/>
  <c r="AW30" i="1"/>
  <c r="BB30" i="1" s="1"/>
  <c r="Z30" i="1" s="1"/>
  <c r="AE30" i="1" s="1"/>
  <c r="W26" i="9"/>
  <c r="BQ24" i="9"/>
  <c r="BO27" i="9"/>
  <c r="BO26" i="9"/>
  <c r="BO23" i="9"/>
  <c r="BO24" i="9"/>
  <c r="BO25" i="9"/>
  <c r="BB70" i="1"/>
  <c r="Z70" i="1" s="1"/>
  <c r="AW72" i="1"/>
  <c r="Y54" i="9"/>
  <c r="AE246" i="1"/>
  <c r="S58" i="9"/>
  <c r="O42" i="9"/>
  <c r="AE138" i="1"/>
  <c r="W58" i="9"/>
  <c r="AE335" i="1"/>
  <c r="AE336" i="1"/>
  <c r="AL63" i="9"/>
  <c r="AN62" i="9"/>
  <c r="AN65" i="9"/>
  <c r="AN63" i="9"/>
  <c r="AL65" i="9"/>
  <c r="BO62" i="9"/>
  <c r="AL62" i="9"/>
  <c r="AL67" i="9"/>
  <c r="AN64" i="9"/>
  <c r="AL66" i="9"/>
  <c r="AL64" i="9"/>
  <c r="Z227" i="1"/>
  <c r="AE227" i="1" s="1"/>
  <c r="O58" i="9"/>
  <c r="AE158" i="1"/>
  <c r="W42" i="9"/>
  <c r="AE315" i="1"/>
  <c r="Q38" i="9"/>
  <c r="Y38" i="9" s="1"/>
  <c r="AE80" i="1"/>
  <c r="K66" i="9"/>
  <c r="AA66" i="9" s="1"/>
  <c r="AC67" i="9" s="1"/>
  <c r="AE79" i="1"/>
  <c r="AE139" i="1"/>
  <c r="Y22" i="9"/>
  <c r="BO22" i="9" s="1"/>
  <c r="AE206" i="1"/>
  <c r="AE207" i="1"/>
  <c r="BB50" i="1" l="1"/>
  <c r="Z50" i="1" s="1"/>
  <c r="AE50" i="1" s="1"/>
  <c r="AA34" i="9"/>
  <c r="AC35" i="9" s="1"/>
  <c r="O26" i="9"/>
  <c r="AE119" i="1"/>
  <c r="AW32" i="1"/>
  <c r="K26" i="9"/>
  <c r="AE29" i="1"/>
  <c r="AN56" i="9"/>
  <c r="AN54" i="9"/>
  <c r="AN57" i="9"/>
  <c r="AL55" i="9"/>
  <c r="AL54" i="9"/>
  <c r="AL56" i="9"/>
  <c r="AL57" i="9"/>
  <c r="AL58" i="9"/>
  <c r="AN55" i="9"/>
  <c r="AL59" i="9"/>
  <c r="BO54" i="9"/>
  <c r="AN39" i="9"/>
  <c r="AL40" i="9"/>
  <c r="AL39" i="9"/>
  <c r="AN41" i="9"/>
  <c r="AL41" i="9"/>
  <c r="AL43" i="9"/>
  <c r="AL42" i="9"/>
  <c r="AN40" i="9"/>
  <c r="AL38" i="9"/>
  <c r="BO38" i="9"/>
  <c r="AN38" i="9"/>
  <c r="S42" i="9"/>
  <c r="AE226" i="1"/>
  <c r="AE70" i="1"/>
  <c r="K58" i="9"/>
  <c r="AA58" i="9" s="1"/>
  <c r="AC59" i="9" s="1"/>
  <c r="AE69" i="1"/>
  <c r="AN24" i="9"/>
  <c r="AL22" i="9"/>
  <c r="AN23" i="9"/>
  <c r="AL26" i="9"/>
  <c r="AL24" i="9"/>
  <c r="AL23" i="9"/>
  <c r="AN25" i="9"/>
  <c r="AL27" i="9"/>
  <c r="AL25" i="9"/>
  <c r="AN22" i="9"/>
  <c r="AE49" i="1" l="1"/>
  <c r="K42" i="9"/>
  <c r="AA42" i="9" s="1"/>
  <c r="AC43" i="9" s="1"/>
  <c r="AA26" i="9"/>
  <c r="AC27" i="9" s="1"/>
  <c r="BO312" i="1" l="1"/>
  <c r="BO322" i="1" l="1"/>
  <c r="BO332" i="1" l="1"/>
  <c r="BO342" i="1" l="1"/>
  <c r="BO343" i="1" l="1"/>
  <c r="BO344" i="1"/>
  <c r="BO345" i="1"/>
  <c r="BO346" i="1"/>
  <c r="BO347" i="1"/>
  <c r="BQ342" i="1"/>
  <c r="BQ343" i="1"/>
  <c r="BQ344" i="1"/>
  <c r="BQ345" i="1"/>
  <c r="BO333" i="1"/>
  <c r="BO334" i="1"/>
  <c r="BO335" i="1"/>
  <c r="BO336" i="1"/>
  <c r="BO337" i="1"/>
  <c r="BQ332" i="1"/>
  <c r="BQ333" i="1"/>
  <c r="BQ334" i="1"/>
  <c r="BQ335" i="1"/>
  <c r="BO323" i="1"/>
  <c r="BO324" i="1"/>
  <c r="BO325" i="1"/>
  <c r="BO326" i="1"/>
  <c r="BO327" i="1"/>
  <c r="BQ322" i="1"/>
  <c r="BQ323" i="1"/>
  <c r="BQ324" i="1"/>
  <c r="BQ325" i="1"/>
  <c r="BO313" i="1"/>
  <c r="BO314" i="1"/>
  <c r="BO315" i="1"/>
  <c r="BO316" i="1"/>
  <c r="BO317" i="1"/>
  <c r="BQ312" i="1"/>
  <c r="BQ313" i="1"/>
  <c r="BQ314" i="1"/>
  <c r="BQ315" i="1"/>
  <c r="U195" i="1"/>
  <c r="K192" i="1" s="1"/>
  <c r="F8" i="9"/>
  <c r="BA192" i="1"/>
  <c r="F10" i="9" l="1"/>
  <c r="D38" i="17"/>
  <c r="BQ336" i="1"/>
  <c r="CM14" i="1"/>
  <c r="CM22" i="1" s="1"/>
  <c r="U196" i="1"/>
  <c r="BQ326" i="1"/>
  <c r="BQ346" i="1"/>
  <c r="BQ316" i="1"/>
  <c r="BB228" i="1"/>
  <c r="BB229" i="1" s="1"/>
  <c r="AR198" i="1"/>
  <c r="F30" i="14"/>
  <c r="Z13" i="13" s="1"/>
  <c r="BB208" i="1"/>
  <c r="BB209" i="1" s="1"/>
  <c r="CM102" i="1"/>
  <c r="BB258" i="1"/>
  <c r="BB259" i="1" s="1"/>
  <c r="BB238" i="1"/>
  <c r="BB239" i="1" s="1"/>
  <c r="BB248" i="1"/>
  <c r="BB249" i="1" s="1"/>
  <c r="BB218" i="1"/>
  <c r="BB219" i="1" s="1"/>
  <c r="D32" i="17" l="1"/>
  <c r="I34" i="17" s="1"/>
  <c r="CM24" i="1"/>
  <c r="CN65" i="1"/>
  <c r="CM73" i="1" s="1"/>
  <c r="CM21" i="1"/>
  <c r="CM20" i="1"/>
  <c r="CM19" i="1"/>
  <c r="CN47" i="1"/>
  <c r="CM18" i="1"/>
  <c r="CM23" i="1"/>
  <c r="CN102" i="1"/>
  <c r="CM110" i="1" s="1"/>
  <c r="CM16" i="1"/>
  <c r="CM17" i="1"/>
  <c r="BB198" i="1"/>
  <c r="U192" i="1"/>
  <c r="AE185" i="1"/>
  <c r="F14" i="9"/>
  <c r="AC11" i="9" s="1"/>
  <c r="AR20" i="1"/>
  <c r="AP21" i="1" s="1"/>
  <c r="AB30" i="14"/>
  <c r="AA15" i="13"/>
  <c r="AC15" i="13" s="1"/>
  <c r="AA21" i="13"/>
  <c r="AC21" i="13" s="1"/>
  <c r="AA19" i="13"/>
  <c r="AC19" i="13" s="1"/>
  <c r="AA17" i="13"/>
  <c r="AC17" i="13" s="1"/>
  <c r="AA16" i="13"/>
  <c r="AC16" i="13" s="1"/>
  <c r="AA18" i="13"/>
  <c r="AC18" i="13" s="1"/>
  <c r="AA23" i="13"/>
  <c r="AA20" i="13"/>
  <c r="AC20" i="13" s="1"/>
  <c r="AA14" i="13"/>
  <c r="AA22" i="13"/>
  <c r="AC22" i="13" s="1"/>
  <c r="CM71" i="1" l="1"/>
  <c r="CM72" i="1"/>
  <c r="CM75" i="1"/>
  <c r="CM74" i="1"/>
  <c r="CM69" i="1"/>
  <c r="CM70" i="1"/>
  <c r="CM104" i="1"/>
  <c r="CM111" i="1"/>
  <c r="CM108" i="1"/>
  <c r="CM106" i="1"/>
  <c r="CM107" i="1"/>
  <c r="D14" i="9"/>
  <c r="CM112" i="1"/>
  <c r="CM109" i="1"/>
  <c r="CM67" i="1"/>
  <c r="AP20" i="1"/>
  <c r="AP17" i="1"/>
  <c r="AR18" i="1"/>
  <c r="CM15" i="1"/>
  <c r="CM103" i="1" s="1"/>
  <c r="CM105" i="1"/>
  <c r="CM68" i="1"/>
  <c r="AQ192" i="1"/>
  <c r="AP19" i="1"/>
  <c r="AR17" i="1"/>
  <c r="AQ281" i="1"/>
  <c r="AP18" i="1"/>
  <c r="AQ104" i="1"/>
  <c r="AR19" i="1"/>
  <c r="AR16" i="1"/>
  <c r="W37" i="14"/>
  <c r="W38" i="14"/>
  <c r="W43" i="14"/>
  <c r="W39" i="14"/>
  <c r="W44" i="14"/>
  <c r="W42" i="14"/>
  <c r="W41" i="14"/>
  <c r="W36" i="14"/>
  <c r="W40" i="14"/>
  <c r="AC14" i="13"/>
  <c r="W35" i="14" s="1"/>
  <c r="CM55" i="1"/>
  <c r="CM54" i="1" l="1"/>
  <c r="CM53" i="1"/>
  <c r="CM57" i="1"/>
  <c r="CM52" i="1"/>
  <c r="CM51" i="1"/>
  <c r="CM56" i="1"/>
  <c r="CM49" i="1"/>
  <c r="CM50" i="1"/>
  <c r="AP286" i="1"/>
  <c r="CM66" i="1"/>
  <c r="CM48" i="1" s="1"/>
  <c r="AP197" i="1"/>
  <c r="AP196" i="1"/>
  <c r="AR196" i="1"/>
  <c r="AR195" i="1"/>
  <c r="AR282" i="1"/>
  <c r="AP198" i="1"/>
  <c r="AP194" i="1"/>
  <c r="AP285" i="1"/>
  <c r="AP287" i="1"/>
  <c r="AR283" i="1"/>
  <c r="AR194" i="1"/>
  <c r="AP284" i="1"/>
  <c r="AP195" i="1"/>
  <c r="AP16" i="1"/>
  <c r="AP193" i="1" s="1"/>
  <c r="AR193" i="1"/>
  <c r="AR285" i="1"/>
  <c r="AP283" i="1"/>
  <c r="AR284" i="1"/>
  <c r="CM114" i="1"/>
  <c r="CN114" i="1" s="1"/>
  <c r="AP109" i="1" l="1"/>
  <c r="AP110" i="1"/>
  <c r="CM77" i="1"/>
  <c r="CN77" i="1" s="1"/>
  <c r="CO67" i="1" s="1"/>
  <c r="CP67" i="1" s="1"/>
  <c r="X272" i="1" s="1"/>
  <c r="AR107" i="1"/>
  <c r="AR106" i="1"/>
  <c r="AP108" i="1"/>
  <c r="AR108" i="1"/>
  <c r="AP107" i="1"/>
  <c r="AP282" i="1"/>
  <c r="AP105" i="1" s="1"/>
  <c r="AR105" i="1"/>
  <c r="AP106" i="1"/>
  <c r="CO106" i="1"/>
  <c r="CP106" i="1" s="1"/>
  <c r="X185" i="1" s="1"/>
  <c r="CO110" i="1"/>
  <c r="CP110" i="1" s="1"/>
  <c r="Z183" i="1" s="1"/>
  <c r="CO103" i="1"/>
  <c r="CO109" i="1"/>
  <c r="CP109" i="1" s="1"/>
  <c r="Z182" i="1" s="1"/>
  <c r="CO111" i="1"/>
  <c r="CP111" i="1" s="1"/>
  <c r="Z184" i="1" s="1"/>
  <c r="CO107" i="1"/>
  <c r="CP107" i="1" s="1"/>
  <c r="X186" i="1" s="1"/>
  <c r="CO105" i="1"/>
  <c r="CP105" i="1" s="1"/>
  <c r="X184" i="1" s="1"/>
  <c r="CO104" i="1"/>
  <c r="CP104" i="1" s="1"/>
  <c r="X183" i="1" s="1"/>
  <c r="CO108" i="1"/>
  <c r="CP108" i="1" s="1"/>
  <c r="X187" i="1" s="1"/>
  <c r="CO112" i="1"/>
  <c r="CP112" i="1" s="1"/>
  <c r="Z185" i="1" s="1"/>
  <c r="CM59" i="1"/>
  <c r="CN59" i="1" s="1"/>
  <c r="AR197" i="1"/>
  <c r="AV192" i="1" s="1"/>
  <c r="CO75" i="1" l="1"/>
  <c r="CP75" i="1" s="1"/>
  <c r="Z274" i="1" s="1"/>
  <c r="W9" i="9" s="1"/>
  <c r="CO72" i="1"/>
  <c r="CP72" i="1" s="1"/>
  <c r="Z271" i="1" s="1"/>
  <c r="Z282" i="1" s="1"/>
  <c r="CO74" i="1"/>
  <c r="CP74" i="1" s="1"/>
  <c r="Z273" i="1" s="1"/>
  <c r="Z284" i="1" s="1"/>
  <c r="CO68" i="1"/>
  <c r="CP68" i="1" s="1"/>
  <c r="X273" i="1" s="1"/>
  <c r="CO70" i="1"/>
  <c r="CP70" i="1" s="1"/>
  <c r="X275" i="1" s="1"/>
  <c r="X286" i="1" s="1"/>
  <c r="CO66" i="1"/>
  <c r="CP66" i="1" s="1"/>
  <c r="CO69" i="1"/>
  <c r="CP69" i="1" s="1"/>
  <c r="X274" i="1" s="1"/>
  <c r="X285" i="1" s="1"/>
  <c r="CO73" i="1"/>
  <c r="CP73" i="1" s="1"/>
  <c r="Z272" i="1" s="1"/>
  <c r="W7" i="9" s="1"/>
  <c r="CO71" i="1"/>
  <c r="CP71" i="1" s="1"/>
  <c r="X276" i="1" s="1"/>
  <c r="U11" i="9" s="1"/>
  <c r="AR286" i="1"/>
  <c r="AV281" i="1" s="1"/>
  <c r="AW284" i="1" s="1"/>
  <c r="BB284" i="1" s="1"/>
  <c r="AR109" i="1"/>
  <c r="AV104" i="1" s="1"/>
  <c r="AW108" i="1" s="1"/>
  <c r="BB108" i="1" s="1"/>
  <c r="X283" i="1"/>
  <c r="U7" i="9"/>
  <c r="Z196" i="1"/>
  <c r="S9" i="9"/>
  <c r="X198" i="1"/>
  <c r="Q11" i="9"/>
  <c r="Q7" i="9"/>
  <c r="X194" i="1"/>
  <c r="AU195" i="1"/>
  <c r="AZ195" i="1" s="1"/>
  <c r="BE195" i="1" s="1"/>
  <c r="AU197" i="1"/>
  <c r="AZ197" i="1" s="1"/>
  <c r="BE197" i="1" s="1"/>
  <c r="AU194" i="1"/>
  <c r="AZ194" i="1" s="1"/>
  <c r="BE194" i="1" s="1"/>
  <c r="AW194" i="1"/>
  <c r="BB194" i="1" s="1"/>
  <c r="BG194" i="1" s="1"/>
  <c r="AU196" i="1"/>
  <c r="AZ196" i="1" s="1"/>
  <c r="BE196" i="1" s="1"/>
  <c r="AU198" i="1"/>
  <c r="AZ198" i="1" s="1"/>
  <c r="BE198" i="1" s="1"/>
  <c r="AW195" i="1"/>
  <c r="BB195" i="1" s="1"/>
  <c r="BG195" i="1" s="1"/>
  <c r="AW193" i="1"/>
  <c r="BB193" i="1" s="1"/>
  <c r="BG193" i="1" s="1"/>
  <c r="AU193" i="1"/>
  <c r="AW196" i="1"/>
  <c r="BB196" i="1" s="1"/>
  <c r="BG196" i="1" s="1"/>
  <c r="Q8" i="9"/>
  <c r="X195" i="1"/>
  <c r="X197" i="1"/>
  <c r="Q10" i="9"/>
  <c r="Z195" i="1"/>
  <c r="S8" i="9"/>
  <c r="Z193" i="1"/>
  <c r="S6" i="9"/>
  <c r="CO102" i="1"/>
  <c r="CP103" i="1"/>
  <c r="S7" i="9"/>
  <c r="Z194" i="1"/>
  <c r="CO56" i="1"/>
  <c r="CP56" i="1" s="1"/>
  <c r="CO48" i="1"/>
  <c r="CO57" i="1"/>
  <c r="CP57" i="1" s="1"/>
  <c r="CO55" i="1"/>
  <c r="CP55" i="1" s="1"/>
  <c r="CO49" i="1"/>
  <c r="CP49" i="1" s="1"/>
  <c r="CO51" i="1"/>
  <c r="CP51" i="1" s="1"/>
  <c r="CO53" i="1"/>
  <c r="CP53" i="1" s="1"/>
  <c r="CO54" i="1"/>
  <c r="CP54" i="1" s="1"/>
  <c r="CO50" i="1"/>
  <c r="CP50" i="1" s="1"/>
  <c r="CO52" i="1"/>
  <c r="CP52" i="1" s="1"/>
  <c r="Q9" i="9"/>
  <c r="X196" i="1"/>
  <c r="X287" i="1" l="1"/>
  <c r="U19" i="9" s="1"/>
  <c r="U8" i="9"/>
  <c r="U9" i="9"/>
  <c r="AU110" i="1"/>
  <c r="AZ110" i="1" s="1"/>
  <c r="Z283" i="1"/>
  <c r="Z375" i="1" s="1"/>
  <c r="W6" i="9"/>
  <c r="BG284" i="1"/>
  <c r="BL284" i="1" s="1"/>
  <c r="CO65" i="1"/>
  <c r="Z285" i="1"/>
  <c r="Z377" i="1" s="1"/>
  <c r="W8" i="9"/>
  <c r="U10" i="9"/>
  <c r="AU106" i="1"/>
  <c r="AZ106" i="1" s="1"/>
  <c r="AU285" i="1"/>
  <c r="AZ285" i="1" s="1"/>
  <c r="BE285" i="1" s="1"/>
  <c r="AU109" i="1"/>
  <c r="AZ109" i="1" s="1"/>
  <c r="AW106" i="1"/>
  <c r="BB106" i="1" s="1"/>
  <c r="AW107" i="1"/>
  <c r="BB107" i="1" s="1"/>
  <c r="AW18" i="1" s="1"/>
  <c r="BB18" i="1" s="1"/>
  <c r="AU107" i="1"/>
  <c r="AZ107" i="1" s="1"/>
  <c r="AU108" i="1"/>
  <c r="AZ108" i="1" s="1"/>
  <c r="AU105" i="1"/>
  <c r="AW105" i="1"/>
  <c r="BB105" i="1" s="1"/>
  <c r="AW285" i="1"/>
  <c r="BB285" i="1" s="1"/>
  <c r="BG285" i="1" s="1"/>
  <c r="BG295" i="1" s="1"/>
  <c r="AU283" i="1"/>
  <c r="AZ283" i="1" s="1"/>
  <c r="BE283" i="1" s="1"/>
  <c r="BJ283" i="1" s="1"/>
  <c r="AU282" i="1"/>
  <c r="AZ282" i="1" s="1"/>
  <c r="AU286" i="1"/>
  <c r="AZ286" i="1" s="1"/>
  <c r="BE286" i="1" s="1"/>
  <c r="BE296" i="1" s="1"/>
  <c r="AW282" i="1"/>
  <c r="BB282" i="1" s="1"/>
  <c r="BG282" i="1" s="1"/>
  <c r="BG292" i="1" s="1"/>
  <c r="AW283" i="1"/>
  <c r="BB283" i="1" s="1"/>
  <c r="BG283" i="1" s="1"/>
  <c r="BL283" i="1" s="1"/>
  <c r="AU284" i="1"/>
  <c r="AZ284" i="1" s="1"/>
  <c r="AU287" i="1"/>
  <c r="AZ287" i="1" s="1"/>
  <c r="BE287" i="1" s="1"/>
  <c r="BE297" i="1" s="1"/>
  <c r="BE204" i="1"/>
  <c r="BJ194" i="1"/>
  <c r="BG205" i="1"/>
  <c r="BL195" i="1"/>
  <c r="BE208" i="1"/>
  <c r="BJ198" i="1"/>
  <c r="X96" i="1"/>
  <c r="CM33" i="1"/>
  <c r="X7" i="1" s="1"/>
  <c r="BL194" i="1"/>
  <c r="BG204" i="1"/>
  <c r="X97" i="1"/>
  <c r="CM34" i="1"/>
  <c r="X8" i="1" s="1"/>
  <c r="AK285" i="1"/>
  <c r="AK291" i="1" s="1"/>
  <c r="AD274" i="1" s="1"/>
  <c r="X377" i="1"/>
  <c r="U17" i="9"/>
  <c r="X95" i="1"/>
  <c r="CM32" i="1"/>
  <c r="X6" i="1" s="1"/>
  <c r="BG203" i="1"/>
  <c r="BL193" i="1"/>
  <c r="BJ197" i="1"/>
  <c r="BE207" i="1"/>
  <c r="Z95" i="1"/>
  <c r="CM38" i="1"/>
  <c r="Z6" i="1" s="1"/>
  <c r="Q18" i="9"/>
  <c r="AK197" i="1"/>
  <c r="AK203" i="1" s="1"/>
  <c r="AD186" i="1" s="1"/>
  <c r="BJ195" i="1"/>
  <c r="BE205" i="1"/>
  <c r="U15" i="9"/>
  <c r="X375" i="1"/>
  <c r="AK283" i="1"/>
  <c r="AK289" i="1" s="1"/>
  <c r="AD272" i="1" s="1"/>
  <c r="Z97" i="1"/>
  <c r="CM40" i="1"/>
  <c r="Z8" i="1" s="1"/>
  <c r="AK195" i="1"/>
  <c r="AK201" i="1" s="1"/>
  <c r="AD184" i="1" s="1"/>
  <c r="Q16" i="9"/>
  <c r="Q19" i="9"/>
  <c r="AK198" i="1"/>
  <c r="AK204" i="1" s="1"/>
  <c r="AD187" i="1" s="1"/>
  <c r="BE206" i="1"/>
  <c r="BJ196" i="1"/>
  <c r="CO47" i="1"/>
  <c r="CP48" i="1"/>
  <c r="CP102" i="1"/>
  <c r="X182" i="1"/>
  <c r="Z186" i="1" s="1"/>
  <c r="AE188" i="1" s="1"/>
  <c r="Q17" i="9"/>
  <c r="AK196" i="1"/>
  <c r="AK202" i="1" s="1"/>
  <c r="AD185" i="1" s="1"/>
  <c r="Z96" i="1"/>
  <c r="CM39" i="1"/>
  <c r="Z7" i="1" s="1"/>
  <c r="CP65" i="1"/>
  <c r="CQ65" i="1" s="1"/>
  <c r="X271" i="1"/>
  <c r="Z275" i="1" s="1"/>
  <c r="AK194" i="1"/>
  <c r="AK200" i="1" s="1"/>
  <c r="AD183" i="1" s="1"/>
  <c r="Q15" i="9"/>
  <c r="AM195" i="1"/>
  <c r="AM201" i="1" s="1"/>
  <c r="AD190" i="1" s="1"/>
  <c r="S16" i="9"/>
  <c r="AW198" i="1"/>
  <c r="AW197" i="1"/>
  <c r="AZ193" i="1"/>
  <c r="BB197" i="1" s="1"/>
  <c r="BB187" i="1" s="1"/>
  <c r="X98" i="1"/>
  <c r="CM35" i="1"/>
  <c r="X9" i="1" s="1"/>
  <c r="S15" i="9"/>
  <c r="AM194" i="1"/>
  <c r="AM200" i="1" s="1"/>
  <c r="AD189" i="1" s="1"/>
  <c r="X378" i="1"/>
  <c r="U18" i="9"/>
  <c r="AK286" i="1"/>
  <c r="AK292" i="1" s="1"/>
  <c r="AD275" i="1" s="1"/>
  <c r="Z94" i="1"/>
  <c r="CM37" i="1"/>
  <c r="Z5" i="1" s="1"/>
  <c r="AM284" i="1"/>
  <c r="AM290" i="1" s="1"/>
  <c r="AD279" i="1" s="1"/>
  <c r="W16" i="9"/>
  <c r="Z376" i="1"/>
  <c r="W14" i="9"/>
  <c r="Z374" i="1"/>
  <c r="AM282" i="1"/>
  <c r="AM288" i="1" s="1"/>
  <c r="AD277" i="1" s="1"/>
  <c r="S17" i="9"/>
  <c r="AM196" i="1"/>
  <c r="AM202" i="1" s="1"/>
  <c r="AD191" i="1" s="1"/>
  <c r="X99" i="1"/>
  <c r="CM36" i="1"/>
  <c r="X10" i="1" s="1"/>
  <c r="AM193" i="1"/>
  <c r="AM199" i="1" s="1"/>
  <c r="AD188" i="1" s="1"/>
  <c r="S14" i="9"/>
  <c r="BL196" i="1"/>
  <c r="BG206" i="1"/>
  <c r="W17" i="9" l="1"/>
  <c r="X379" i="1"/>
  <c r="AK287" i="1"/>
  <c r="AK293" i="1" s="1"/>
  <c r="AD276" i="1" s="1"/>
  <c r="X284" i="1"/>
  <c r="AK284" i="1" s="1"/>
  <c r="AK290" i="1" s="1"/>
  <c r="AD273" i="1" s="1"/>
  <c r="BE284" i="1"/>
  <c r="BJ284" i="1" s="1"/>
  <c r="AM285" i="1"/>
  <c r="AM291" i="1" s="1"/>
  <c r="AD280" i="1" s="1"/>
  <c r="W15" i="9"/>
  <c r="AM283" i="1"/>
  <c r="AM289" i="1" s="1"/>
  <c r="AD278" i="1" s="1"/>
  <c r="BG294" i="1"/>
  <c r="BG304" i="1" s="1"/>
  <c r="BE295" i="1"/>
  <c r="BE305" i="1" s="1"/>
  <c r="AU19" i="1"/>
  <c r="AZ19" i="1" s="1"/>
  <c r="BE19" i="1" s="1"/>
  <c r="BJ285" i="1"/>
  <c r="AW109" i="1"/>
  <c r="AU17" i="1"/>
  <c r="AZ17" i="1" s="1"/>
  <c r="BE17" i="1" s="1"/>
  <c r="AZ105" i="1"/>
  <c r="BB109" i="1" s="1"/>
  <c r="BB99" i="1" s="1"/>
  <c r="AW16" i="1"/>
  <c r="BB16" i="1" s="1"/>
  <c r="BG16" i="1" s="1"/>
  <c r="BE293" i="1"/>
  <c r="BJ293" i="1" s="1"/>
  <c r="BO293" i="1" s="1"/>
  <c r="BL285" i="1"/>
  <c r="AW110" i="1"/>
  <c r="AW19" i="1"/>
  <c r="BB19" i="1" s="1"/>
  <c r="BG19" i="1" s="1"/>
  <c r="BL282" i="1"/>
  <c r="AW17" i="1"/>
  <c r="BB17" i="1" s="1"/>
  <c r="BG17" i="1" s="1"/>
  <c r="AU20" i="1"/>
  <c r="AZ20" i="1" s="1"/>
  <c r="BE20" i="1" s="1"/>
  <c r="AW286" i="1"/>
  <c r="BG293" i="1"/>
  <c r="BG303" i="1" s="1"/>
  <c r="BJ287" i="1"/>
  <c r="AU18" i="1"/>
  <c r="AZ18" i="1" s="1"/>
  <c r="BE18" i="1" s="1"/>
  <c r="BB286" i="1"/>
  <c r="BB288" i="1" s="1"/>
  <c r="AW287" i="1"/>
  <c r="AU21" i="1"/>
  <c r="AZ21" i="1" s="1"/>
  <c r="BE21" i="1" s="1"/>
  <c r="BJ286" i="1"/>
  <c r="Y188" i="1"/>
  <c r="Z197" i="1"/>
  <c r="I11" i="9"/>
  <c r="X21" i="1"/>
  <c r="X110" i="1"/>
  <c r="BE110" i="1"/>
  <c r="M11" i="9"/>
  <c r="BE216" i="1"/>
  <c r="BJ206" i="1"/>
  <c r="BO206" i="1" s="1"/>
  <c r="K7" i="9"/>
  <c r="Z17" i="1"/>
  <c r="BJ208" i="1"/>
  <c r="BO208" i="1" s="1"/>
  <c r="BE218" i="1"/>
  <c r="BG105" i="1"/>
  <c r="Z105" i="1"/>
  <c r="O6" i="9"/>
  <c r="Z106" i="1"/>
  <c r="BG106" i="1"/>
  <c r="O7" i="9"/>
  <c r="I10" i="9"/>
  <c r="X20" i="1"/>
  <c r="M10" i="9"/>
  <c r="BE109" i="1"/>
  <c r="X109" i="1"/>
  <c r="BG305" i="1"/>
  <c r="BL295" i="1"/>
  <c r="BQ295" i="1" s="1"/>
  <c r="BE306" i="1"/>
  <c r="BJ296" i="1"/>
  <c r="BO296" i="1" s="1"/>
  <c r="I9" i="9"/>
  <c r="X19" i="1"/>
  <c r="X106" i="1"/>
  <c r="M7" i="9"/>
  <c r="BE106" i="1"/>
  <c r="M8" i="9"/>
  <c r="BE107" i="1"/>
  <c r="X107" i="1"/>
  <c r="BG216" i="1"/>
  <c r="BL206" i="1"/>
  <c r="BQ206" i="1" s="1"/>
  <c r="Z107" i="1"/>
  <c r="O8" i="9"/>
  <c r="BG107" i="1"/>
  <c r="BJ297" i="1"/>
  <c r="BO297" i="1" s="1"/>
  <c r="BE307" i="1"/>
  <c r="BE193" i="1"/>
  <c r="Q6" i="9"/>
  <c r="X193" i="1"/>
  <c r="K9" i="9"/>
  <c r="Z19" i="1"/>
  <c r="BL203" i="1"/>
  <c r="BQ203" i="1" s="1"/>
  <c r="BG213" i="1"/>
  <c r="BL204" i="1"/>
  <c r="BQ204" i="1" s="1"/>
  <c r="BG214" i="1"/>
  <c r="CP47" i="1"/>
  <c r="CQ47" i="1" s="1"/>
  <c r="X94" i="1"/>
  <c r="CM31" i="1"/>
  <c r="X17" i="1"/>
  <c r="I7" i="9"/>
  <c r="I8" i="9"/>
  <c r="X18" i="1"/>
  <c r="K8" i="9"/>
  <c r="BG18" i="1"/>
  <c r="Z18" i="1"/>
  <c r="Z16" i="1"/>
  <c r="K6" i="9"/>
  <c r="BJ205" i="1"/>
  <c r="BO205" i="1" s="1"/>
  <c r="BE215" i="1"/>
  <c r="BL292" i="1"/>
  <c r="BQ292" i="1" s="1"/>
  <c r="BG302" i="1"/>
  <c r="BE217" i="1"/>
  <c r="BJ207" i="1"/>
  <c r="BO207" i="1" s="1"/>
  <c r="M9" i="9"/>
  <c r="BE108" i="1"/>
  <c r="X108" i="1"/>
  <c r="BB199" i="1"/>
  <c r="U6" i="9"/>
  <c r="X282" i="1"/>
  <c r="BE282" i="1"/>
  <c r="BG108" i="1"/>
  <c r="Z108" i="1"/>
  <c r="O9" i="9"/>
  <c r="BL205" i="1"/>
  <c r="BQ205" i="1" s="1"/>
  <c r="BG215" i="1"/>
  <c r="BE214" i="1"/>
  <c r="BJ204" i="1"/>
  <c r="BO204" i="1" s="1"/>
  <c r="X376" i="1" l="1"/>
  <c r="K281" i="1"/>
  <c r="U16" i="9"/>
  <c r="A18" i="9" s="1"/>
  <c r="BE294" i="1"/>
  <c r="BJ294" i="1" s="1"/>
  <c r="BO294" i="1" s="1"/>
  <c r="BL294" i="1"/>
  <c r="BQ294" i="1" s="1"/>
  <c r="AU16" i="1"/>
  <c r="AW20" i="1" s="1"/>
  <c r="BJ295" i="1"/>
  <c r="BO295" i="1" s="1"/>
  <c r="BL293" i="1"/>
  <c r="BQ293" i="1" s="1"/>
  <c r="BE303" i="1"/>
  <c r="BE313" i="1" s="1"/>
  <c r="BB276" i="1"/>
  <c r="AA9" i="9"/>
  <c r="BQ9" i="9" s="1"/>
  <c r="BV9" i="9" s="1"/>
  <c r="CC9" i="9" s="1"/>
  <c r="AA6" i="9"/>
  <c r="Y8" i="9"/>
  <c r="Y9" i="9"/>
  <c r="BJ17" i="1"/>
  <c r="BE27" i="1"/>
  <c r="BJ109" i="1"/>
  <c r="BE119" i="1"/>
  <c r="I15" i="9"/>
  <c r="AK17" i="1"/>
  <c r="AK23" i="1" s="1"/>
  <c r="AD6" i="1" s="1"/>
  <c r="X360" i="1"/>
  <c r="BG115" i="1"/>
  <c r="BL105" i="1"/>
  <c r="X374" i="1"/>
  <c r="U14" i="9"/>
  <c r="AK282" i="1"/>
  <c r="BL18" i="1"/>
  <c r="BG28" i="1"/>
  <c r="Z369" i="1"/>
  <c r="AM107" i="1"/>
  <c r="AM113" i="1" s="1"/>
  <c r="AD102" i="1" s="1"/>
  <c r="O16" i="9"/>
  <c r="BG312" i="1"/>
  <c r="BL302" i="1"/>
  <c r="BQ302" i="1" s="1"/>
  <c r="BQ282" i="1" s="1"/>
  <c r="BE315" i="1"/>
  <c r="BJ305" i="1"/>
  <c r="BO305" i="1" s="1"/>
  <c r="Z98" i="1"/>
  <c r="BE105" i="1"/>
  <c r="M6" i="9"/>
  <c r="X105" i="1"/>
  <c r="BE224" i="1"/>
  <c r="BJ214" i="1"/>
  <c r="BO214" i="1" s="1"/>
  <c r="AK107" i="1"/>
  <c r="AK113" i="1" s="1"/>
  <c r="AD96" i="1" s="1"/>
  <c r="M16" i="9"/>
  <c r="X369" i="1"/>
  <c r="BE120" i="1"/>
  <c r="BJ110" i="1"/>
  <c r="BL215" i="1"/>
  <c r="BQ215" i="1" s="1"/>
  <c r="BG225" i="1"/>
  <c r="I16" i="9"/>
  <c r="X361" i="1"/>
  <c r="AK18" i="1"/>
  <c r="AK24" i="1" s="1"/>
  <c r="AD7" i="1" s="1"/>
  <c r="AK110" i="1"/>
  <c r="AK116" i="1" s="1"/>
  <c r="AD99" i="1" s="1"/>
  <c r="X372" i="1"/>
  <c r="M19" i="9"/>
  <c r="X370" i="1"/>
  <c r="M17" i="9"/>
  <c r="AK108" i="1"/>
  <c r="AK114" i="1" s="1"/>
  <c r="AD97" i="1" s="1"/>
  <c r="BE225" i="1"/>
  <c r="BJ215" i="1"/>
  <c r="BO215" i="1" s="1"/>
  <c r="BE117" i="1"/>
  <c r="BJ107" i="1"/>
  <c r="BE316" i="1"/>
  <c r="BJ306" i="1"/>
  <c r="BO306" i="1" s="1"/>
  <c r="BO286" i="1" s="1"/>
  <c r="AA7" i="9"/>
  <c r="BJ108" i="1"/>
  <c r="BE118" i="1"/>
  <c r="BL213" i="1"/>
  <c r="BQ213" i="1" s="1"/>
  <c r="BG223" i="1"/>
  <c r="BL303" i="1"/>
  <c r="BQ303" i="1" s="1"/>
  <c r="BG313" i="1"/>
  <c r="BL106" i="1"/>
  <c r="BG116" i="1"/>
  <c r="BJ21" i="1"/>
  <c r="BE31" i="1"/>
  <c r="BL304" i="1"/>
  <c r="BQ304" i="1" s="1"/>
  <c r="BG314" i="1"/>
  <c r="M15" i="9"/>
  <c r="X368" i="1"/>
  <c r="AK106" i="1"/>
  <c r="AK112" i="1" s="1"/>
  <c r="AD95" i="1" s="1"/>
  <c r="BJ282" i="1"/>
  <c r="BL286" i="1" s="1"/>
  <c r="BG286" i="1"/>
  <c r="BE292" i="1"/>
  <c r="AM18" i="1"/>
  <c r="AM24" i="1" s="1"/>
  <c r="AD13" i="1" s="1"/>
  <c r="K16" i="9"/>
  <c r="Z361" i="1"/>
  <c r="BJ19" i="1"/>
  <c r="BE29" i="1"/>
  <c r="BJ217" i="1"/>
  <c r="BO217" i="1" s="1"/>
  <c r="BE227" i="1"/>
  <c r="AK193" i="1"/>
  <c r="Q14" i="9"/>
  <c r="BE228" i="1"/>
  <c r="BJ218" i="1"/>
  <c r="BO218" i="1" s="1"/>
  <c r="I17" i="9"/>
  <c r="X362" i="1"/>
  <c r="AK19" i="1"/>
  <c r="AK25" i="1" s="1"/>
  <c r="AD8" i="1" s="1"/>
  <c r="AA8" i="9"/>
  <c r="K15" i="9"/>
  <c r="Z360" i="1"/>
  <c r="AM17" i="1"/>
  <c r="AM23" i="1" s="1"/>
  <c r="AD12" i="1" s="1"/>
  <c r="BG197" i="1"/>
  <c r="BJ193" i="1"/>
  <c r="BL197" i="1" s="1"/>
  <c r="BE203" i="1"/>
  <c r="BL214" i="1"/>
  <c r="BQ214" i="1" s="1"/>
  <c r="BG224" i="1"/>
  <c r="BG27" i="1"/>
  <c r="BL17" i="1"/>
  <c r="O15" i="9"/>
  <c r="Z368" i="1"/>
  <c r="AM106" i="1"/>
  <c r="AM112" i="1" s="1"/>
  <c r="AD101" i="1" s="1"/>
  <c r="Z362" i="1"/>
  <c r="AM19" i="1"/>
  <c r="AM25" i="1" s="1"/>
  <c r="AD14" i="1" s="1"/>
  <c r="K17" i="9"/>
  <c r="Y11" i="9"/>
  <c r="AK20" i="1"/>
  <c r="AK26" i="1" s="1"/>
  <c r="AD9" i="1" s="1"/>
  <c r="I18" i="9"/>
  <c r="X363" i="1"/>
  <c r="AE275" i="1"/>
  <c r="W10" i="9"/>
  <c r="AE277" i="1"/>
  <c r="Y277" i="1"/>
  <c r="Z286" i="1"/>
  <c r="CM42" i="1"/>
  <c r="X5" i="1"/>
  <c r="BJ20" i="1"/>
  <c r="BE30" i="1"/>
  <c r="S10" i="9"/>
  <c r="AE186" i="1"/>
  <c r="BL216" i="1"/>
  <c r="BQ216" i="1" s="1"/>
  <c r="BG226" i="1"/>
  <c r="BJ18" i="1"/>
  <c r="BE28" i="1"/>
  <c r="Y10" i="9"/>
  <c r="BG26" i="1"/>
  <c r="BL16" i="1"/>
  <c r="BE317" i="1"/>
  <c r="BJ307" i="1"/>
  <c r="BO307" i="1" s="1"/>
  <c r="BO287" i="1" s="1"/>
  <c r="BJ106" i="1"/>
  <c r="BE116" i="1"/>
  <c r="BL305" i="1"/>
  <c r="BQ305" i="1" s="1"/>
  <c r="BQ285" i="1" s="1"/>
  <c r="BG315" i="1"/>
  <c r="I19" i="9"/>
  <c r="AK21" i="1"/>
  <c r="AK27" i="1" s="1"/>
  <c r="AD10" i="1" s="1"/>
  <c r="X364" i="1"/>
  <c r="Z370" i="1"/>
  <c r="O17" i="9"/>
  <c r="AM108" i="1"/>
  <c r="AM114" i="1" s="1"/>
  <c r="AD103" i="1" s="1"/>
  <c r="BB111" i="1"/>
  <c r="BL108" i="1"/>
  <c r="BG118" i="1"/>
  <c r="AM16" i="1"/>
  <c r="AM22" i="1" s="1"/>
  <c r="AD11" i="1" s="1"/>
  <c r="Z359" i="1"/>
  <c r="K14" i="9"/>
  <c r="Y7" i="9"/>
  <c r="BG29" i="1"/>
  <c r="BL19" i="1"/>
  <c r="BG117" i="1"/>
  <c r="BL107" i="1"/>
  <c r="X371" i="1"/>
  <c r="M18" i="9"/>
  <c r="AK109" i="1"/>
  <c r="AK115" i="1" s="1"/>
  <c r="AD98" i="1" s="1"/>
  <c r="Z367" i="1"/>
  <c r="AM105" i="1"/>
  <c r="AM111" i="1" s="1"/>
  <c r="AD100" i="1" s="1"/>
  <c r="O14" i="9"/>
  <c r="BJ216" i="1"/>
  <c r="BO216" i="1" s="1"/>
  <c r="BE226" i="1"/>
  <c r="BQ284" i="1" l="1"/>
  <c r="BO285" i="1"/>
  <c r="BQ283" i="1"/>
  <c r="Z378" i="1"/>
  <c r="BE304" i="1"/>
  <c r="BE314" i="1" s="1"/>
  <c r="BJ314" i="1" s="1"/>
  <c r="AZ16" i="1"/>
  <c r="BE16" i="1" s="1"/>
  <c r="BJ303" i="1"/>
  <c r="BO303" i="1" s="1"/>
  <c r="BO283" i="1" s="1"/>
  <c r="BV65" i="9"/>
  <c r="BV57" i="9"/>
  <c r="BQ8" i="9"/>
  <c r="BV24" i="9" s="1"/>
  <c r="BV25" i="9"/>
  <c r="BV49" i="9"/>
  <c r="BV41" i="9"/>
  <c r="BV33" i="9"/>
  <c r="Y15" i="9"/>
  <c r="Y19" i="9"/>
  <c r="AA14" i="9"/>
  <c r="BO7" i="9"/>
  <c r="BT7" i="9" s="1"/>
  <c r="CA7" i="9" s="1"/>
  <c r="BO10" i="9"/>
  <c r="BT66" i="9" s="1"/>
  <c r="BQ6" i="9"/>
  <c r="BV6" i="9" s="1"/>
  <c r="CC6" i="9" s="1"/>
  <c r="BO9" i="9"/>
  <c r="BT65" i="9" s="1"/>
  <c r="AA17" i="9"/>
  <c r="BQ17" i="9" s="1"/>
  <c r="BV17" i="9" s="1"/>
  <c r="Y16" i="9"/>
  <c r="AM197" i="1"/>
  <c r="AM203" i="1" s="1"/>
  <c r="AD192" i="1" s="1"/>
  <c r="AK199" i="1"/>
  <c r="AD182" i="1" s="1"/>
  <c r="S18" i="9"/>
  <c r="AE196" i="1"/>
  <c r="BJ227" i="1"/>
  <c r="BO227" i="1" s="1"/>
  <c r="BE237" i="1"/>
  <c r="BJ316" i="1"/>
  <c r="BE326" i="1"/>
  <c r="BL26" i="1"/>
  <c r="BQ26" i="1" s="1"/>
  <c r="BG36" i="1"/>
  <c r="BG323" i="1"/>
  <c r="BL313" i="1"/>
  <c r="BE234" i="1"/>
  <c r="BJ224" i="1"/>
  <c r="BO224" i="1" s="1"/>
  <c r="BG322" i="1"/>
  <c r="BL312" i="1"/>
  <c r="BG125" i="1"/>
  <c r="BL115" i="1"/>
  <c r="BQ115" i="1" s="1"/>
  <c r="BG128" i="1"/>
  <c r="BL118" i="1"/>
  <c r="BQ118" i="1" s="1"/>
  <c r="BG325" i="1"/>
  <c r="BL315" i="1"/>
  <c r="AA15" i="9"/>
  <c r="BJ29" i="1"/>
  <c r="BO29" i="1" s="1"/>
  <c r="BE39" i="1"/>
  <c r="BJ117" i="1"/>
  <c r="BO117" i="1" s="1"/>
  <c r="BE127" i="1"/>
  <c r="BL314" i="1"/>
  <c r="BG324" i="1"/>
  <c r="BG233" i="1"/>
  <c r="BL223" i="1"/>
  <c r="BQ223" i="1" s="1"/>
  <c r="X367" i="1"/>
  <c r="Z371" i="1" s="1"/>
  <c r="M14" i="9"/>
  <c r="AK105" i="1"/>
  <c r="BE126" i="1"/>
  <c r="BJ116" i="1"/>
  <c r="BO116" i="1" s="1"/>
  <c r="Y18" i="9"/>
  <c r="BL27" i="1"/>
  <c r="BQ27" i="1" s="1"/>
  <c r="BG37" i="1"/>
  <c r="BL225" i="1"/>
  <c r="BQ225" i="1" s="1"/>
  <c r="BG235" i="1"/>
  <c r="BJ28" i="1"/>
  <c r="BO28" i="1" s="1"/>
  <c r="BE38" i="1"/>
  <c r="BE40" i="1"/>
  <c r="BJ30" i="1"/>
  <c r="BO30" i="1" s="1"/>
  <c r="BO8" i="9"/>
  <c r="BJ105" i="1"/>
  <c r="BL109" i="1" s="1"/>
  <c r="BG109" i="1"/>
  <c r="BE115" i="1"/>
  <c r="BL28" i="1"/>
  <c r="BQ28" i="1" s="1"/>
  <c r="BG38" i="1"/>
  <c r="BG127" i="1"/>
  <c r="BL117" i="1"/>
  <c r="BQ117" i="1" s="1"/>
  <c r="BO11" i="9"/>
  <c r="BL224" i="1"/>
  <c r="BQ224" i="1" s="1"/>
  <c r="BG234" i="1"/>
  <c r="Y17" i="9"/>
  <c r="AA16" i="9"/>
  <c r="BJ31" i="1"/>
  <c r="BO31" i="1" s="1"/>
  <c r="BE41" i="1"/>
  <c r="BJ225" i="1"/>
  <c r="BO225" i="1" s="1"/>
  <c r="BE235" i="1"/>
  <c r="Z109" i="1"/>
  <c r="AE100" i="1"/>
  <c r="AE98" i="1"/>
  <c r="Y100" i="1"/>
  <c r="O10" i="9"/>
  <c r="BJ119" i="1"/>
  <c r="BO119" i="1" s="1"/>
  <c r="BE129" i="1"/>
  <c r="BL226" i="1"/>
  <c r="BQ226" i="1" s="1"/>
  <c r="BG236" i="1"/>
  <c r="Z9" i="1"/>
  <c r="X16" i="1"/>
  <c r="I6" i="9"/>
  <c r="Y6" i="9" s="1"/>
  <c r="BE128" i="1"/>
  <c r="BJ118" i="1"/>
  <c r="BO118" i="1" s="1"/>
  <c r="BE236" i="1"/>
  <c r="BJ226" i="1"/>
  <c r="BO226" i="1" s="1"/>
  <c r="BJ317" i="1"/>
  <c r="BE327" i="1"/>
  <c r="BG207" i="1"/>
  <c r="BE213" i="1"/>
  <c r="BJ203" i="1"/>
  <c r="BJ228" i="1"/>
  <c r="BO228" i="1" s="1"/>
  <c r="BE238" i="1"/>
  <c r="BJ292" i="1"/>
  <c r="BG296" i="1"/>
  <c r="BE302" i="1"/>
  <c r="BE130" i="1"/>
  <c r="BJ120" i="1"/>
  <c r="BO120" i="1" s="1"/>
  <c r="AM286" i="1"/>
  <c r="AM292" i="1" s="1"/>
  <c r="AD281" i="1" s="1"/>
  <c r="AK288" i="1"/>
  <c r="AD271" i="1" s="1"/>
  <c r="BG39" i="1"/>
  <c r="BL29" i="1"/>
  <c r="BQ29" i="1" s="1"/>
  <c r="BB20" i="1"/>
  <c r="BB10" i="1" s="1"/>
  <c r="AW22" i="1"/>
  <c r="AE285" i="1"/>
  <c r="W18" i="9"/>
  <c r="BE323" i="1"/>
  <c r="BJ313" i="1"/>
  <c r="BE325" i="1"/>
  <c r="BJ315" i="1"/>
  <c r="AE286" i="1"/>
  <c r="BJ27" i="1"/>
  <c r="BO27" i="1" s="1"/>
  <c r="BE37" i="1"/>
  <c r="AE197" i="1"/>
  <c r="BL116" i="1"/>
  <c r="BQ116" i="1" s="1"/>
  <c r="BG126" i="1"/>
  <c r="BQ7" i="9"/>
  <c r="CH9" i="9"/>
  <c r="CC17" i="9"/>
  <c r="BV40" i="9" l="1"/>
  <c r="BE324" i="1"/>
  <c r="BJ324" i="1" s="1"/>
  <c r="BJ304" i="1"/>
  <c r="BO304" i="1" s="1"/>
  <c r="BO284" i="1" s="1"/>
  <c r="BV48" i="9"/>
  <c r="BL296" i="1"/>
  <c r="BO292" i="1"/>
  <c r="BV56" i="9"/>
  <c r="BV8" i="9"/>
  <c r="CC8" i="9" s="1"/>
  <c r="CH8" i="9" s="1"/>
  <c r="BV32" i="9"/>
  <c r="BV64" i="9"/>
  <c r="BV62" i="9"/>
  <c r="BT42" i="9"/>
  <c r="BT10" i="9"/>
  <c r="CA10" i="9" s="1"/>
  <c r="CA18" i="9" s="1"/>
  <c r="BT50" i="9"/>
  <c r="BV30" i="9"/>
  <c r="BV38" i="9"/>
  <c r="BT26" i="9"/>
  <c r="BT55" i="9"/>
  <c r="BT34" i="9"/>
  <c r="BT41" i="9"/>
  <c r="BT57" i="9"/>
  <c r="BT9" i="9"/>
  <c r="CA9" i="9" s="1"/>
  <c r="CA17" i="9" s="1"/>
  <c r="BT25" i="9"/>
  <c r="BO19" i="9"/>
  <c r="BT19" i="9" s="1"/>
  <c r="BT63" i="9"/>
  <c r="BT47" i="9"/>
  <c r="BO16" i="9"/>
  <c r="BT16" i="9" s="1"/>
  <c r="BV46" i="9"/>
  <c r="BV54" i="9"/>
  <c r="BT39" i="9"/>
  <c r="BT58" i="9"/>
  <c r="BT23" i="9"/>
  <c r="BT31" i="9"/>
  <c r="BO15" i="9"/>
  <c r="BT15" i="9" s="1"/>
  <c r="BQ16" i="9"/>
  <c r="BV16" i="9" s="1"/>
  <c r="BV22" i="9"/>
  <c r="BT49" i="9"/>
  <c r="BQ15" i="9"/>
  <c r="BV15" i="9" s="1"/>
  <c r="BT33" i="9"/>
  <c r="AE108" i="1"/>
  <c r="O18" i="9"/>
  <c r="CC25" i="9"/>
  <c r="CH17" i="9"/>
  <c r="BO203" i="1"/>
  <c r="BL207" i="1"/>
  <c r="K10" i="9"/>
  <c r="AA10" i="9" s="1"/>
  <c r="Z20" i="1"/>
  <c r="Y11" i="1"/>
  <c r="B6" i="9" s="1"/>
  <c r="AE11" i="1"/>
  <c r="AE9" i="1"/>
  <c r="BE245" i="1"/>
  <c r="BJ235" i="1"/>
  <c r="BO235" i="1" s="1"/>
  <c r="BG217" i="1"/>
  <c r="BJ213" i="1"/>
  <c r="BE223" i="1"/>
  <c r="BG243" i="1"/>
  <c r="BL233" i="1"/>
  <c r="BQ233" i="1" s="1"/>
  <c r="CC14" i="9"/>
  <c r="CH6" i="9"/>
  <c r="BV55" i="9"/>
  <c r="BV31" i="9"/>
  <c r="BV23" i="9"/>
  <c r="BV39" i="9"/>
  <c r="BV63" i="9"/>
  <c r="BV47" i="9"/>
  <c r="BV7" i="9"/>
  <c r="CC7" i="9" s="1"/>
  <c r="BE47" i="1"/>
  <c r="BJ37" i="1"/>
  <c r="BO37" i="1" s="1"/>
  <c r="BL39" i="1"/>
  <c r="BQ39" i="1" s="1"/>
  <c r="BG49" i="1"/>
  <c r="BL236" i="1"/>
  <c r="BQ236" i="1" s="1"/>
  <c r="BG246" i="1"/>
  <c r="BJ41" i="1"/>
  <c r="BO41" i="1" s="1"/>
  <c r="BE51" i="1"/>
  <c r="BJ115" i="1"/>
  <c r="BG119" i="1"/>
  <c r="BE125" i="1"/>
  <c r="BL37" i="1"/>
  <c r="BQ37" i="1" s="1"/>
  <c r="BG47" i="1"/>
  <c r="BL324" i="1"/>
  <c r="BG334" i="1"/>
  <c r="BG136" i="1"/>
  <c r="BL126" i="1"/>
  <c r="BQ126" i="1" s="1"/>
  <c r="BE337" i="1"/>
  <c r="BJ327" i="1"/>
  <c r="BG135" i="1"/>
  <c r="BL125" i="1"/>
  <c r="BQ125" i="1" s="1"/>
  <c r="BJ237" i="1"/>
  <c r="BO237" i="1" s="1"/>
  <c r="BE247" i="1"/>
  <c r="BJ129" i="1"/>
  <c r="BO129" i="1" s="1"/>
  <c r="BE139" i="1"/>
  <c r="BO18" i="9"/>
  <c r="BT18" i="9" s="1"/>
  <c r="BJ127" i="1"/>
  <c r="BO127" i="1" s="1"/>
  <c r="BE137" i="1"/>
  <c r="BO17" i="9"/>
  <c r="BT17" i="9" s="1"/>
  <c r="BT48" i="9"/>
  <c r="BT24" i="9"/>
  <c r="BT40" i="9"/>
  <c r="BT64" i="9"/>
  <c r="BT32" i="9"/>
  <c r="BT56" i="9"/>
  <c r="BT8" i="9"/>
  <c r="CA8" i="9" s="1"/>
  <c r="BG332" i="1"/>
  <c r="BL322" i="1"/>
  <c r="BJ325" i="1"/>
  <c r="BE335" i="1"/>
  <c r="BJ130" i="1"/>
  <c r="BO130" i="1" s="1"/>
  <c r="BE140" i="1"/>
  <c r="BE246" i="1"/>
  <c r="BJ236" i="1"/>
  <c r="BO236" i="1" s="1"/>
  <c r="BG244" i="1"/>
  <c r="BL234" i="1"/>
  <c r="BQ234" i="1" s="1"/>
  <c r="BJ126" i="1"/>
  <c r="BO126" i="1" s="1"/>
  <c r="BE136" i="1"/>
  <c r="BJ39" i="1"/>
  <c r="BO39" i="1" s="1"/>
  <c r="BE49" i="1"/>
  <c r="BJ302" i="1"/>
  <c r="BO302" i="1" s="1"/>
  <c r="BG306" i="1"/>
  <c r="BE312" i="1"/>
  <c r="BJ40" i="1"/>
  <c r="BO40" i="1" s="1"/>
  <c r="BE50" i="1"/>
  <c r="AM109" i="1"/>
  <c r="AM115" i="1" s="1"/>
  <c r="AD104" i="1" s="1"/>
  <c r="AK111" i="1"/>
  <c r="AD94" i="1" s="1"/>
  <c r="BJ234" i="1"/>
  <c r="BO234" i="1" s="1"/>
  <c r="BE244" i="1"/>
  <c r="AK16" i="1"/>
  <c r="X359" i="1"/>
  <c r="Z363" i="1" s="1"/>
  <c r="I14" i="9"/>
  <c r="Y14" i="9" s="1"/>
  <c r="BL38" i="1"/>
  <c r="BQ38" i="1" s="1"/>
  <c r="BG48" i="1"/>
  <c r="BL235" i="1"/>
  <c r="BQ235" i="1" s="1"/>
  <c r="BG245" i="1"/>
  <c r="BL128" i="1"/>
  <c r="BQ128" i="1" s="1"/>
  <c r="BG138" i="1"/>
  <c r="BE336" i="1"/>
  <c r="BJ326" i="1"/>
  <c r="BJ323" i="1"/>
  <c r="BE333" i="1"/>
  <c r="BJ128" i="1"/>
  <c r="BO128" i="1" s="1"/>
  <c r="BE138" i="1"/>
  <c r="BT67" i="9"/>
  <c r="BT59" i="9"/>
  <c r="BT35" i="9"/>
  <c r="BT27" i="9"/>
  <c r="BT51" i="9"/>
  <c r="BT43" i="9"/>
  <c r="BT11" i="9"/>
  <c r="CA11" i="9" s="1"/>
  <c r="BJ38" i="1"/>
  <c r="BO38" i="1" s="1"/>
  <c r="BE48" i="1"/>
  <c r="AE109" i="1"/>
  <c r="CF7" i="9"/>
  <c r="CA15" i="9"/>
  <c r="AN9" i="9"/>
  <c r="AL8" i="9"/>
  <c r="AL6" i="9"/>
  <c r="AL10" i="9"/>
  <c r="AN6" i="9"/>
  <c r="AN7" i="9"/>
  <c r="BO6" i="9"/>
  <c r="AN8" i="9"/>
  <c r="AL7" i="9"/>
  <c r="AL11" i="9"/>
  <c r="AL9" i="9"/>
  <c r="BL323" i="1"/>
  <c r="BG333" i="1"/>
  <c r="BQ14" i="9"/>
  <c r="BV14" i="9" s="1"/>
  <c r="BJ238" i="1"/>
  <c r="BO238" i="1" s="1"/>
  <c r="BE248" i="1"/>
  <c r="BE26" i="1"/>
  <c r="BG20" i="1"/>
  <c r="BJ16" i="1"/>
  <c r="BL20" i="1" s="1"/>
  <c r="BL127" i="1"/>
  <c r="BQ127" i="1" s="1"/>
  <c r="BG137" i="1"/>
  <c r="BL325" i="1"/>
  <c r="BG335" i="1"/>
  <c r="BL36" i="1"/>
  <c r="BQ36" i="1" s="1"/>
  <c r="BG46" i="1"/>
  <c r="BQ306" i="1" l="1"/>
  <c r="BE334" i="1"/>
  <c r="BE344" i="1" s="1"/>
  <c r="BJ344" i="1" s="1"/>
  <c r="BL306" i="1"/>
  <c r="CC16" i="9"/>
  <c r="CC24" i="9" s="1"/>
  <c r="BQ296" i="1"/>
  <c r="BO282" i="1"/>
  <c r="BQ286" i="1" s="1"/>
  <c r="AC10" i="9"/>
  <c r="CF10" i="9"/>
  <c r="CF9" i="9"/>
  <c r="AQ59" i="9"/>
  <c r="AQ43" i="9"/>
  <c r="AQ35" i="9"/>
  <c r="AQ51" i="9"/>
  <c r="AQ11" i="9"/>
  <c r="AX11" i="9" s="1"/>
  <c r="AQ67" i="9"/>
  <c r="AQ27" i="9"/>
  <c r="CA26" i="9"/>
  <c r="CF18" i="9"/>
  <c r="K18" i="9"/>
  <c r="AA18" i="9" s="1"/>
  <c r="AC19" i="9" s="1"/>
  <c r="AE19" i="1"/>
  <c r="BJ48" i="1"/>
  <c r="BO48" i="1" s="1"/>
  <c r="BE58" i="1"/>
  <c r="CH7" i="9"/>
  <c r="CC15" i="9"/>
  <c r="CF8" i="9"/>
  <c r="CA16" i="9"/>
  <c r="BJ26" i="1"/>
  <c r="BE36" i="1"/>
  <c r="BG30" i="1"/>
  <c r="CF11" i="9"/>
  <c r="CA19" i="9"/>
  <c r="AN15" i="9"/>
  <c r="AS15" i="9" s="1"/>
  <c r="AL17" i="9"/>
  <c r="AQ17" i="9" s="1"/>
  <c r="AL18" i="9"/>
  <c r="AQ18" i="9" s="1"/>
  <c r="AL15" i="9"/>
  <c r="AQ15" i="9" s="1"/>
  <c r="AN14" i="9"/>
  <c r="AS14" i="9" s="1"/>
  <c r="AN17" i="9"/>
  <c r="AS17" i="9" s="1"/>
  <c r="AL16" i="9"/>
  <c r="AQ16" i="9" s="1"/>
  <c r="AN16" i="9"/>
  <c r="AS16" i="9" s="1"/>
  <c r="AL14" i="9"/>
  <c r="AQ14" i="9" s="1"/>
  <c r="BO14" i="9"/>
  <c r="BT14" i="9" s="1"/>
  <c r="BU18" i="9" s="1"/>
  <c r="AL19" i="9"/>
  <c r="AQ19" i="9" s="1"/>
  <c r="BL244" i="1"/>
  <c r="BQ244" i="1" s="1"/>
  <c r="BG254" i="1"/>
  <c r="BL254" i="1" s="1"/>
  <c r="BQ254" i="1" s="1"/>
  <c r="BL119" i="1"/>
  <c r="BO115" i="1"/>
  <c r="BQ207" i="1"/>
  <c r="BJ248" i="1"/>
  <c r="BO248" i="1" s="1"/>
  <c r="BE258" i="1"/>
  <c r="BJ258" i="1" s="1"/>
  <c r="BO258" i="1" s="1"/>
  <c r="AS23" i="9"/>
  <c r="AS31" i="9"/>
  <c r="AS63" i="9"/>
  <c r="AS55" i="9"/>
  <c r="AS47" i="9"/>
  <c r="AS7" i="9"/>
  <c r="AZ7" i="9" s="1"/>
  <c r="AS39" i="9"/>
  <c r="BE346" i="1"/>
  <c r="BJ346" i="1" s="1"/>
  <c r="BJ336" i="1"/>
  <c r="BJ139" i="1"/>
  <c r="BO139" i="1" s="1"/>
  <c r="BE149" i="1"/>
  <c r="BJ337" i="1"/>
  <c r="BE347" i="1"/>
  <c r="BJ347" i="1" s="1"/>
  <c r="BJ51" i="1"/>
  <c r="BO51" i="1" s="1"/>
  <c r="BE61" i="1"/>
  <c r="AS62" i="9"/>
  <c r="AS46" i="9"/>
  <c r="AS38" i="9"/>
  <c r="AS54" i="9"/>
  <c r="AS30" i="9"/>
  <c r="AS22" i="9"/>
  <c r="AS6" i="9"/>
  <c r="AZ6" i="9" s="1"/>
  <c r="AE20" i="1"/>
  <c r="BJ246" i="1"/>
  <c r="BO246" i="1" s="1"/>
  <c r="BE256" i="1"/>
  <c r="BJ256" i="1" s="1"/>
  <c r="BO256" i="1" s="1"/>
  <c r="CH25" i="9"/>
  <c r="CC33" i="9"/>
  <c r="BG345" i="1"/>
  <c r="BL345" i="1" s="1"/>
  <c r="BL335" i="1"/>
  <c r="AQ58" i="9"/>
  <c r="AQ34" i="9"/>
  <c r="AQ10" i="9"/>
  <c r="AX10" i="9" s="1"/>
  <c r="AQ66" i="9"/>
  <c r="AQ42" i="9"/>
  <c r="AQ26" i="9"/>
  <c r="AQ50" i="9"/>
  <c r="AM20" i="1"/>
  <c r="AM26" i="1" s="1"/>
  <c r="AD15" i="1" s="1"/>
  <c r="AK22" i="1"/>
  <c r="AD5" i="1" s="1"/>
  <c r="BJ312" i="1"/>
  <c r="BL316" i="1" s="1"/>
  <c r="BE322" i="1"/>
  <c r="BG316" i="1"/>
  <c r="BE150" i="1"/>
  <c r="BJ140" i="1"/>
  <c r="BO140" i="1" s="1"/>
  <c r="BL246" i="1"/>
  <c r="BQ246" i="1" s="1"/>
  <c r="BG256" i="1"/>
  <c r="BL256" i="1" s="1"/>
  <c r="BQ256" i="1" s="1"/>
  <c r="BG343" i="1"/>
  <c r="BL343" i="1" s="1"/>
  <c r="BL333" i="1"/>
  <c r="AQ46" i="9"/>
  <c r="AQ54" i="9"/>
  <c r="AQ62" i="9"/>
  <c r="AQ38" i="9"/>
  <c r="AQ6" i="9"/>
  <c r="AQ22" i="9"/>
  <c r="AQ30" i="9"/>
  <c r="BL138" i="1"/>
  <c r="BQ138" i="1" s="1"/>
  <c r="BG148" i="1"/>
  <c r="BJ244" i="1"/>
  <c r="BO244" i="1" s="1"/>
  <c r="BE254" i="1"/>
  <c r="BJ254" i="1" s="1"/>
  <c r="BO254" i="1" s="1"/>
  <c r="BJ247" i="1"/>
  <c r="BO247" i="1" s="1"/>
  <c r="BE257" i="1"/>
  <c r="BJ257" i="1" s="1"/>
  <c r="BO257" i="1" s="1"/>
  <c r="BL136" i="1"/>
  <c r="BQ136" i="1" s="1"/>
  <c r="BG146" i="1"/>
  <c r="BJ245" i="1"/>
  <c r="BO245" i="1" s="1"/>
  <c r="BE255" i="1"/>
  <c r="BJ255" i="1" s="1"/>
  <c r="BO255" i="1" s="1"/>
  <c r="AQ32" i="9"/>
  <c r="AQ64" i="9"/>
  <c r="AQ24" i="9"/>
  <c r="AQ48" i="9"/>
  <c r="AQ40" i="9"/>
  <c r="AQ56" i="9"/>
  <c r="AQ8" i="9"/>
  <c r="AX8" i="9" s="1"/>
  <c r="BJ335" i="1"/>
  <c r="BE345" i="1"/>
  <c r="BJ345" i="1" s="1"/>
  <c r="BG59" i="1"/>
  <c r="BL49" i="1"/>
  <c r="BQ49" i="1" s="1"/>
  <c r="AQ47" i="9"/>
  <c r="AQ63" i="9"/>
  <c r="AQ31" i="9"/>
  <c r="AQ23" i="9"/>
  <c r="AQ39" i="9"/>
  <c r="AQ55" i="9"/>
  <c r="AQ7" i="9"/>
  <c r="AX7" i="9" s="1"/>
  <c r="BJ333" i="1"/>
  <c r="BE343" i="1"/>
  <c r="BJ343" i="1" s="1"/>
  <c r="BL48" i="1"/>
  <c r="BQ48" i="1" s="1"/>
  <c r="BG58" i="1"/>
  <c r="BE147" i="1"/>
  <c r="BJ137" i="1"/>
  <c r="BO137" i="1" s="1"/>
  <c r="BG129" i="1"/>
  <c r="BE135" i="1"/>
  <c r="BJ125" i="1"/>
  <c r="BL243" i="1"/>
  <c r="BQ243" i="1" s="1"/>
  <c r="BG253" i="1"/>
  <c r="BL253" i="1" s="1"/>
  <c r="BQ253" i="1" s="1"/>
  <c r="AS40" i="9"/>
  <c r="AS64" i="9"/>
  <c r="AS8" i="9"/>
  <c r="AZ8" i="9" s="1"/>
  <c r="AS48" i="9"/>
  <c r="AS32" i="9"/>
  <c r="AS24" i="9"/>
  <c r="AS56" i="9"/>
  <c r="BE60" i="1"/>
  <c r="BJ50" i="1"/>
  <c r="BO50" i="1" s="1"/>
  <c r="BG227" i="1"/>
  <c r="BJ223" i="1"/>
  <c r="BE233" i="1"/>
  <c r="BT30" i="9"/>
  <c r="BU34" i="9" s="1"/>
  <c r="BW34" i="9" s="1"/>
  <c r="BX34" i="9" s="1"/>
  <c r="BT38" i="9"/>
  <c r="BU42" i="9" s="1"/>
  <c r="BW42" i="9" s="1"/>
  <c r="BX42" i="9" s="1"/>
  <c r="BT6" i="9"/>
  <c r="BT62" i="9"/>
  <c r="BU66" i="9" s="1"/>
  <c r="BW66" i="9" s="1"/>
  <c r="BX66" i="9" s="1"/>
  <c r="BT22" i="9"/>
  <c r="BU26" i="9" s="1"/>
  <c r="BW26" i="9" s="1"/>
  <c r="BX26" i="9" s="1"/>
  <c r="BT54" i="9"/>
  <c r="BU58" i="9" s="1"/>
  <c r="BW58" i="9" s="1"/>
  <c r="BX58" i="9" s="1"/>
  <c r="BT46" i="9"/>
  <c r="BU50" i="9" s="1"/>
  <c r="BW50" i="9" s="1"/>
  <c r="BX50" i="9" s="1"/>
  <c r="BO213" i="1"/>
  <c r="BQ217" i="1" s="1"/>
  <c r="BL217" i="1"/>
  <c r="BG56" i="1"/>
  <c r="BL46" i="1"/>
  <c r="BQ46" i="1" s="1"/>
  <c r="AS49" i="9"/>
  <c r="AS57" i="9"/>
  <c r="AS9" i="9"/>
  <c r="AZ9" i="9" s="1"/>
  <c r="AS33" i="9"/>
  <c r="AS25" i="9"/>
  <c r="AS65" i="9"/>
  <c r="AS41" i="9"/>
  <c r="BG255" i="1"/>
  <c r="BL255" i="1" s="1"/>
  <c r="BQ255" i="1" s="1"/>
  <c r="BL245" i="1"/>
  <c r="BQ245" i="1" s="1"/>
  <c r="BE59" i="1"/>
  <c r="BJ49" i="1"/>
  <c r="BO49" i="1" s="1"/>
  <c r="BG344" i="1"/>
  <c r="BL344" i="1" s="1"/>
  <c r="BL334" i="1"/>
  <c r="CH14" i="9"/>
  <c r="CC22" i="9"/>
  <c r="BG147" i="1"/>
  <c r="BL137" i="1"/>
  <c r="BQ137" i="1" s="1"/>
  <c r="CF15" i="9"/>
  <c r="CA23" i="9"/>
  <c r="BL135" i="1"/>
  <c r="BQ135" i="1" s="1"/>
  <c r="BG145" i="1"/>
  <c r="AQ33" i="9"/>
  <c r="AQ41" i="9"/>
  <c r="AQ65" i="9"/>
  <c r="AQ25" i="9"/>
  <c r="AQ57" i="9"/>
  <c r="AQ49" i="9"/>
  <c r="AQ9" i="9"/>
  <c r="AX9" i="9" s="1"/>
  <c r="BE148" i="1"/>
  <c r="BJ138" i="1"/>
  <c r="BO138" i="1" s="1"/>
  <c r="BJ136" i="1"/>
  <c r="BO136" i="1" s="1"/>
  <c r="BE146" i="1"/>
  <c r="BL332" i="1"/>
  <c r="BG342" i="1"/>
  <c r="BL342" i="1" s="1"/>
  <c r="BL47" i="1"/>
  <c r="BQ47" i="1" s="1"/>
  <c r="BG57" i="1"/>
  <c r="BJ47" i="1"/>
  <c r="BO47" i="1" s="1"/>
  <c r="BE57" i="1"/>
  <c r="CF17" i="9"/>
  <c r="CA25" i="9"/>
  <c r="BO196" i="1" l="1"/>
  <c r="BO195" i="1"/>
  <c r="BO198" i="1"/>
  <c r="BQ193" i="1"/>
  <c r="BQ196" i="1"/>
  <c r="BO197" i="1"/>
  <c r="BQ194" i="1"/>
  <c r="BQ195" i="1"/>
  <c r="BO194" i="1"/>
  <c r="BJ334" i="1"/>
  <c r="CH16" i="9"/>
  <c r="BW18" i="9"/>
  <c r="BX18" i="9" s="1"/>
  <c r="AR18" i="9"/>
  <c r="AT18" i="9" s="1"/>
  <c r="AU18" i="9" s="1"/>
  <c r="E18" i="9" s="1"/>
  <c r="AR26" i="9"/>
  <c r="AT26" i="9" s="1"/>
  <c r="AU26" i="9" s="1"/>
  <c r="E26" i="9" s="1"/>
  <c r="BJ147" i="1"/>
  <c r="BO147" i="1" s="1"/>
  <c r="BE157" i="1"/>
  <c r="CH15" i="9"/>
  <c r="CC23" i="9"/>
  <c r="BL145" i="1"/>
  <c r="BQ145" i="1" s="1"/>
  <c r="BG155" i="1"/>
  <c r="BE8" i="9"/>
  <c r="AZ16" i="9"/>
  <c r="BG326" i="1"/>
  <c r="BJ322" i="1"/>
  <c r="BL326" i="1" s="1"/>
  <c r="BE332" i="1"/>
  <c r="AR42" i="9"/>
  <c r="AT42" i="9" s="1"/>
  <c r="AU42" i="9" s="1"/>
  <c r="E42" i="9" s="1"/>
  <c r="CH24" i="9"/>
  <c r="CC32" i="9"/>
  <c r="BJ233" i="1"/>
  <c r="BE243" i="1"/>
  <c r="BG237" i="1"/>
  <c r="AX15" i="9"/>
  <c r="BC7" i="9"/>
  <c r="BC8" i="9"/>
  <c r="AX16" i="9"/>
  <c r="AR66" i="9"/>
  <c r="AT66" i="9" s="1"/>
  <c r="AU66" i="9" s="1"/>
  <c r="E66" i="9" s="1"/>
  <c r="AX17" i="9"/>
  <c r="BC9" i="9"/>
  <c r="BO223" i="1"/>
  <c r="BL227" i="1"/>
  <c r="AR58" i="9"/>
  <c r="AT58" i="9" s="1"/>
  <c r="AU58" i="9" s="1"/>
  <c r="E58" i="9" s="1"/>
  <c r="AR50" i="9"/>
  <c r="AT50" i="9" s="1"/>
  <c r="AU50" i="9" s="1"/>
  <c r="E50" i="9" s="1"/>
  <c r="CF26" i="9"/>
  <c r="CA34" i="9"/>
  <c r="BE67" i="1"/>
  <c r="BJ57" i="1"/>
  <c r="BO57" i="1" s="1"/>
  <c r="BO125" i="1"/>
  <c r="BQ129" i="1" s="1"/>
  <c r="BL129" i="1"/>
  <c r="BG40" i="1"/>
  <c r="BJ36" i="1"/>
  <c r="BE46" i="1"/>
  <c r="BG68" i="1"/>
  <c r="BL58" i="1"/>
  <c r="BQ58" i="1" s="1"/>
  <c r="BJ150" i="1"/>
  <c r="BO150" i="1" s="1"/>
  <c r="BE160" i="1"/>
  <c r="BJ146" i="1"/>
  <c r="BO146" i="1" s="1"/>
  <c r="BE156" i="1"/>
  <c r="AR10" i="9"/>
  <c r="AT10" i="9" s="1"/>
  <c r="AU10" i="9" s="1"/>
  <c r="AX6" i="9"/>
  <c r="BE69" i="1"/>
  <c r="BJ59" i="1"/>
  <c r="BO59" i="1" s="1"/>
  <c r="BL146" i="1"/>
  <c r="BQ146" i="1" s="1"/>
  <c r="BG156" i="1"/>
  <c r="BE7" i="9"/>
  <c r="AZ15" i="9"/>
  <c r="CF23" i="9"/>
  <c r="CA31" i="9"/>
  <c r="BE71" i="1"/>
  <c r="BJ61" i="1"/>
  <c r="BO61" i="1" s="1"/>
  <c r="BL30" i="1"/>
  <c r="BO26" i="1"/>
  <c r="BE9" i="9"/>
  <c r="AZ17" i="9"/>
  <c r="BE6" i="9"/>
  <c r="AZ14" i="9"/>
  <c r="CF16" i="9"/>
  <c r="CA24" i="9"/>
  <c r="AX19" i="9"/>
  <c r="BC11" i="9"/>
  <c r="BU10" i="9"/>
  <c r="BW10" i="9" s="1"/>
  <c r="BX10" i="9" s="1"/>
  <c r="CA6" i="9"/>
  <c r="BG69" i="1"/>
  <c r="BL59" i="1"/>
  <c r="BQ59" i="1" s="1"/>
  <c r="BQ119" i="1"/>
  <c r="BJ58" i="1"/>
  <c r="BO58" i="1" s="1"/>
  <c r="BE68" i="1"/>
  <c r="BJ148" i="1"/>
  <c r="BO148" i="1" s="1"/>
  <c r="BE158" i="1"/>
  <c r="BG66" i="1"/>
  <c r="BL56" i="1"/>
  <c r="BQ56" i="1" s="1"/>
  <c r="CH33" i="9"/>
  <c r="CC41" i="9"/>
  <c r="CF19" i="9"/>
  <c r="CA27" i="9"/>
  <c r="CF25" i="9"/>
  <c r="CA33" i="9"/>
  <c r="BL147" i="1"/>
  <c r="BQ147" i="1" s="1"/>
  <c r="BG157" i="1"/>
  <c r="BE70" i="1"/>
  <c r="BJ60" i="1"/>
  <c r="BO60" i="1" s="1"/>
  <c r="BE145" i="1"/>
  <c r="BG139" i="1"/>
  <c r="BJ135" i="1"/>
  <c r="BL148" i="1"/>
  <c r="BQ148" i="1" s="1"/>
  <c r="BG158" i="1"/>
  <c r="BG67" i="1"/>
  <c r="BL57" i="1"/>
  <c r="BQ57" i="1" s="1"/>
  <c r="CC30" i="9"/>
  <c r="CH22" i="9"/>
  <c r="BJ149" i="1"/>
  <c r="BO149" i="1" s="1"/>
  <c r="BE159" i="1"/>
  <c r="AR34" i="9"/>
  <c r="AT34" i="9" s="1"/>
  <c r="AU34" i="9" s="1"/>
  <c r="E34" i="9" s="1"/>
  <c r="BC10" i="9"/>
  <c r="AX18" i="9"/>
  <c r="CH30" i="9" l="1"/>
  <c r="CC38" i="9"/>
  <c r="BE15" i="9"/>
  <c r="AZ23" i="9"/>
  <c r="BE77" i="1"/>
  <c r="BJ77" i="1" s="1"/>
  <c r="BO77" i="1" s="1"/>
  <c r="BJ67" i="1"/>
  <c r="BO67" i="1" s="1"/>
  <c r="AZ24" i="9"/>
  <c r="BE16" i="9"/>
  <c r="CA41" i="9"/>
  <c r="CF33" i="9"/>
  <c r="BE14" i="9"/>
  <c r="AZ22" i="9"/>
  <c r="CF34" i="9"/>
  <c r="CA42" i="9"/>
  <c r="BL158" i="1"/>
  <c r="BQ158" i="1" s="1"/>
  <c r="BG168" i="1"/>
  <c r="BL168" i="1" s="1"/>
  <c r="BQ168" i="1" s="1"/>
  <c r="CF27" i="9"/>
  <c r="CA35" i="9"/>
  <c r="BE56" i="1"/>
  <c r="BG50" i="1"/>
  <c r="BJ46" i="1"/>
  <c r="BG165" i="1"/>
  <c r="BL165" i="1" s="1"/>
  <c r="BQ165" i="1" s="1"/>
  <c r="BL155" i="1"/>
  <c r="BQ155" i="1" s="1"/>
  <c r="AZ25" i="9"/>
  <c r="BE17" i="9"/>
  <c r="BL40" i="1"/>
  <c r="BO36" i="1"/>
  <c r="BQ40" i="1" s="1"/>
  <c r="BG247" i="1"/>
  <c r="BE253" i="1"/>
  <c r="BJ243" i="1"/>
  <c r="BC18" i="9"/>
  <c r="AX26" i="9"/>
  <c r="BO135" i="1"/>
  <c r="BL139" i="1"/>
  <c r="CH41" i="9"/>
  <c r="CC49" i="9"/>
  <c r="BE79" i="1"/>
  <c r="BJ79" i="1" s="1"/>
  <c r="BO79" i="1" s="1"/>
  <c r="BJ69" i="1"/>
  <c r="BO69" i="1" s="1"/>
  <c r="BO233" i="1"/>
  <c r="BQ237" i="1" s="1"/>
  <c r="BL237" i="1"/>
  <c r="CH23" i="9"/>
  <c r="CC31" i="9"/>
  <c r="BG79" i="1"/>
  <c r="BL79" i="1" s="1"/>
  <c r="BQ79" i="1" s="1"/>
  <c r="BL69" i="1"/>
  <c r="BQ69" i="1" s="1"/>
  <c r="BQ30" i="1"/>
  <c r="AX14" i="9"/>
  <c r="BC6" i="9"/>
  <c r="BD10" i="9" s="1"/>
  <c r="CH32" i="9"/>
  <c r="CC40" i="9"/>
  <c r="BJ145" i="1"/>
  <c r="BG149" i="1"/>
  <c r="BE155" i="1"/>
  <c r="CF6" i="9"/>
  <c r="CG10" i="9" s="1"/>
  <c r="CA14" i="9"/>
  <c r="BQ227" i="1"/>
  <c r="BE167" i="1"/>
  <c r="BJ167" i="1" s="1"/>
  <c r="BO167" i="1" s="1"/>
  <c r="BJ157" i="1"/>
  <c r="BO157" i="1" s="1"/>
  <c r="BG76" i="1"/>
  <c r="BL76" i="1" s="1"/>
  <c r="BQ76" i="1" s="1"/>
  <c r="BL66" i="1"/>
  <c r="BQ66" i="1" s="1"/>
  <c r="BE166" i="1"/>
  <c r="BJ166" i="1" s="1"/>
  <c r="BO166" i="1" s="1"/>
  <c r="BJ156" i="1"/>
  <c r="BO156" i="1" s="1"/>
  <c r="BJ159" i="1"/>
  <c r="BO159" i="1" s="1"/>
  <c r="BE169" i="1"/>
  <c r="BJ169" i="1" s="1"/>
  <c r="BO169" i="1" s="1"/>
  <c r="BE80" i="1"/>
  <c r="BJ80" i="1" s="1"/>
  <c r="BO80" i="1" s="1"/>
  <c r="BJ70" i="1"/>
  <c r="BO70" i="1" s="1"/>
  <c r="BJ158" i="1"/>
  <c r="BO158" i="1" s="1"/>
  <c r="BE168" i="1"/>
  <c r="BJ168" i="1" s="1"/>
  <c r="BO168" i="1" s="1"/>
  <c r="BE81" i="1"/>
  <c r="BJ81" i="1" s="1"/>
  <c r="BO81" i="1" s="1"/>
  <c r="BJ71" i="1"/>
  <c r="BO71" i="1" s="1"/>
  <c r="AX25" i="9"/>
  <c r="BC17" i="9"/>
  <c r="BJ332" i="1"/>
  <c r="BL336" i="1" s="1"/>
  <c r="BE342" i="1"/>
  <c r="BG336" i="1"/>
  <c r="BL157" i="1"/>
  <c r="BQ157" i="1" s="1"/>
  <c r="BG167" i="1"/>
  <c r="BL167" i="1" s="1"/>
  <c r="BQ167" i="1" s="1"/>
  <c r="BC19" i="9"/>
  <c r="AX27" i="9"/>
  <c r="CA39" i="9"/>
  <c r="CF31" i="9"/>
  <c r="BJ160" i="1"/>
  <c r="BO160" i="1" s="1"/>
  <c r="BE170" i="1"/>
  <c r="BJ170" i="1" s="1"/>
  <c r="BO170" i="1" s="1"/>
  <c r="CA32" i="9"/>
  <c r="CF24" i="9"/>
  <c r="BC16" i="9"/>
  <c r="AX24" i="9"/>
  <c r="BE78" i="1"/>
  <c r="BJ78" i="1" s="1"/>
  <c r="BO78" i="1" s="1"/>
  <c r="BJ68" i="1"/>
  <c r="BO68" i="1" s="1"/>
  <c r="BG78" i="1"/>
  <c r="BL78" i="1" s="1"/>
  <c r="BQ78" i="1" s="1"/>
  <c r="BL68" i="1"/>
  <c r="BQ68" i="1" s="1"/>
  <c r="BG77" i="1"/>
  <c r="BL77" i="1" s="1"/>
  <c r="BQ77" i="1" s="1"/>
  <c r="BL67" i="1"/>
  <c r="BQ67" i="1" s="1"/>
  <c r="BG166" i="1"/>
  <c r="BL166" i="1" s="1"/>
  <c r="BQ166" i="1" s="1"/>
  <c r="BL156" i="1"/>
  <c r="BQ156" i="1" s="1"/>
  <c r="BC15" i="9"/>
  <c r="AX23" i="9"/>
  <c r="BQ106" i="1" l="1"/>
  <c r="BQ18" i="1"/>
  <c r="BO19" i="1"/>
  <c r="BQ17" i="1"/>
  <c r="BO18" i="1"/>
  <c r="BQ19" i="1"/>
  <c r="BO108" i="1"/>
  <c r="BO109" i="1"/>
  <c r="BO17" i="1"/>
  <c r="BQ107" i="1"/>
  <c r="BQ16" i="1"/>
  <c r="BQ105" i="1"/>
  <c r="BQ108" i="1"/>
  <c r="BO110" i="1"/>
  <c r="BO21" i="1"/>
  <c r="BO20" i="1"/>
  <c r="BO106" i="1"/>
  <c r="BO107" i="1"/>
  <c r="BL247" i="1"/>
  <c r="BO243" i="1"/>
  <c r="BQ247" i="1" s="1"/>
  <c r="B9" i="9"/>
  <c r="U9" i="13" s="1"/>
  <c r="CH49" i="9"/>
  <c r="CC57" i="9"/>
  <c r="AZ30" i="9"/>
  <c r="BE22" i="9"/>
  <c r="CA47" i="9"/>
  <c r="CF39" i="9"/>
  <c r="BQ139" i="1"/>
  <c r="BL50" i="1"/>
  <c r="BO46" i="1"/>
  <c r="CF41" i="9"/>
  <c r="CA49" i="9"/>
  <c r="AX35" i="9"/>
  <c r="BC27" i="9"/>
  <c r="AX34" i="9"/>
  <c r="BC26" i="9"/>
  <c r="CF14" i="9"/>
  <c r="CG18" i="9" s="1"/>
  <c r="CA22" i="9"/>
  <c r="BE66" i="1"/>
  <c r="BG60" i="1"/>
  <c r="BJ56" i="1"/>
  <c r="AZ32" i="9"/>
  <c r="BE24" i="9"/>
  <c r="CC39" i="9"/>
  <c r="CH31" i="9"/>
  <c r="CA43" i="9"/>
  <c r="CF35" i="9"/>
  <c r="BJ155" i="1"/>
  <c r="BG159" i="1"/>
  <c r="BE165" i="1"/>
  <c r="BG257" i="1"/>
  <c r="BJ253" i="1"/>
  <c r="AX32" i="9"/>
  <c r="BC24" i="9"/>
  <c r="AZ31" i="9"/>
  <c r="BE23" i="9"/>
  <c r="BC25" i="9"/>
  <c r="AX33" i="9"/>
  <c r="BE25" i="9"/>
  <c r="AZ33" i="9"/>
  <c r="AX22" i="9"/>
  <c r="BC14" i="9"/>
  <c r="BD18" i="9" s="1"/>
  <c r="BG346" i="1"/>
  <c r="BJ342" i="1"/>
  <c r="BL346" i="1" s="1"/>
  <c r="BL149" i="1"/>
  <c r="BO145" i="1"/>
  <c r="BQ149" i="1" s="1"/>
  <c r="BC23" i="9"/>
  <c r="AX31" i="9"/>
  <c r="CH40" i="9"/>
  <c r="CC48" i="9"/>
  <c r="CF42" i="9"/>
  <c r="CA50" i="9"/>
  <c r="CH38" i="9"/>
  <c r="CC46" i="9"/>
  <c r="CA40" i="9"/>
  <c r="CF32" i="9"/>
  <c r="BL257" i="1" l="1"/>
  <c r="BO253" i="1"/>
  <c r="BQ257" i="1" s="1"/>
  <c r="BL159" i="1"/>
  <c r="BO155" i="1"/>
  <c r="BQ159" i="1" s="1"/>
  <c r="F16" i="9"/>
  <c r="BC34" i="9"/>
  <c r="AX42" i="9"/>
  <c r="BE30" i="9"/>
  <c r="AZ38" i="9"/>
  <c r="CC56" i="9"/>
  <c r="CH48" i="9"/>
  <c r="BC33" i="9"/>
  <c r="AX41" i="9"/>
  <c r="CF43" i="9"/>
  <c r="CA51" i="9"/>
  <c r="CC65" i="9"/>
  <c r="CH65" i="9" s="1"/>
  <c r="CH57" i="9"/>
  <c r="AX43" i="9"/>
  <c r="BC35" i="9"/>
  <c r="BC31" i="9"/>
  <c r="AX39" i="9"/>
  <c r="CH39" i="9"/>
  <c r="CC47" i="9"/>
  <c r="CF49" i="9"/>
  <c r="CA57" i="9"/>
  <c r="BE31" i="9"/>
  <c r="AZ39" i="9"/>
  <c r="BE32" i="9"/>
  <c r="AZ40" i="9"/>
  <c r="BQ50" i="1"/>
  <c r="BC32" i="9"/>
  <c r="AX40" i="9"/>
  <c r="BL60" i="1"/>
  <c r="BO56" i="1"/>
  <c r="BQ60" i="1" s="1"/>
  <c r="CF40" i="9"/>
  <c r="CA48" i="9"/>
  <c r="BE76" i="1"/>
  <c r="BJ66" i="1"/>
  <c r="BG70" i="1"/>
  <c r="CH46" i="9"/>
  <c r="CC54" i="9"/>
  <c r="BJ165" i="1"/>
  <c r="BG169" i="1"/>
  <c r="CF22" i="9"/>
  <c r="CG26" i="9" s="1"/>
  <c r="CA30" i="9"/>
  <c r="AX30" i="9"/>
  <c r="BC22" i="9"/>
  <c r="BD26" i="9" s="1"/>
  <c r="CA55" i="9"/>
  <c r="CF47" i="9"/>
  <c r="CA58" i="9"/>
  <c r="CF50" i="9"/>
  <c r="BE33" i="9"/>
  <c r="AZ41" i="9"/>
  <c r="BO193" i="1" l="1"/>
  <c r="BQ197" i="1" s="1"/>
  <c r="BL169" i="1"/>
  <c r="BO165" i="1"/>
  <c r="BL70" i="1"/>
  <c r="BO66" i="1"/>
  <c r="BQ70" i="1" s="1"/>
  <c r="F24" i="9"/>
  <c r="CA66" i="9"/>
  <c r="CF66" i="9" s="1"/>
  <c r="CF58" i="9"/>
  <c r="BE40" i="9"/>
  <c r="AZ48" i="9"/>
  <c r="CA59" i="9"/>
  <c r="CF51" i="9"/>
  <c r="CH47" i="9"/>
  <c r="CC55" i="9"/>
  <c r="CH56" i="9"/>
  <c r="CC64" i="9"/>
  <c r="CH64" i="9" s="1"/>
  <c r="BC40" i="9"/>
  <c r="AX48" i="9"/>
  <c r="AX47" i="9"/>
  <c r="BC39" i="9"/>
  <c r="BE38" i="9"/>
  <c r="AZ46" i="9"/>
  <c r="BG80" i="1"/>
  <c r="BJ76" i="1"/>
  <c r="BE39" i="9"/>
  <c r="AZ47" i="9"/>
  <c r="CA63" i="9"/>
  <c r="CF63" i="9" s="1"/>
  <c r="CF55" i="9"/>
  <c r="CF48" i="9"/>
  <c r="CA56" i="9"/>
  <c r="CA65" i="9"/>
  <c r="CF65" i="9" s="1"/>
  <c r="CF57" i="9"/>
  <c r="BC41" i="9"/>
  <c r="AX49" i="9"/>
  <c r="AX38" i="9"/>
  <c r="BC30" i="9"/>
  <c r="BD34" i="9" s="1"/>
  <c r="CF30" i="9"/>
  <c r="CG34" i="9" s="1"/>
  <c r="CA38" i="9"/>
  <c r="BE41" i="9"/>
  <c r="AZ49" i="9"/>
  <c r="CC62" i="9"/>
  <c r="CH62" i="9" s="1"/>
  <c r="CH54" i="9"/>
  <c r="BC42" i="9"/>
  <c r="AX50" i="9"/>
  <c r="AX51" i="9"/>
  <c r="BC43" i="9"/>
  <c r="BQ169" i="1" l="1"/>
  <c r="BO105" i="1"/>
  <c r="BQ109" i="1" s="1"/>
  <c r="BL80" i="1"/>
  <c r="BO76" i="1"/>
  <c r="BQ80" i="1" s="1"/>
  <c r="CA46" i="9"/>
  <c r="CF38" i="9"/>
  <c r="CG42" i="9" s="1"/>
  <c r="CH55" i="9"/>
  <c r="CC63" i="9"/>
  <c r="CH63" i="9" s="1"/>
  <c r="AZ56" i="9"/>
  <c r="BE48" i="9"/>
  <c r="CF56" i="9"/>
  <c r="CA64" i="9"/>
  <c r="CF64" i="9" s="1"/>
  <c r="BC48" i="9"/>
  <c r="AX56" i="9"/>
  <c r="BE49" i="9"/>
  <c r="AZ57" i="9"/>
  <c r="BE47" i="9"/>
  <c r="AZ55" i="9"/>
  <c r="F32" i="9"/>
  <c r="BC38" i="9"/>
  <c r="BD42" i="9" s="1"/>
  <c r="AX46" i="9"/>
  <c r="CA67" i="9"/>
  <c r="CF67" i="9" s="1"/>
  <c r="CF59" i="9"/>
  <c r="AX59" i="9"/>
  <c r="BC51" i="9"/>
  <c r="AX57" i="9"/>
  <c r="BC49" i="9"/>
  <c r="BE46" i="9"/>
  <c r="AZ54" i="9"/>
  <c r="BC50" i="9"/>
  <c r="AX58" i="9"/>
  <c r="AX55" i="9"/>
  <c r="BC47" i="9"/>
  <c r="BO16" i="1" l="1"/>
  <c r="BQ20" i="1" s="1"/>
  <c r="F40" i="9"/>
  <c r="BE57" i="9"/>
  <c r="AZ65" i="9"/>
  <c r="BE65" i="9" s="1"/>
  <c r="BC57" i="9"/>
  <c r="AX65" i="9"/>
  <c r="BC65" i="9" s="1"/>
  <c r="BC56" i="9"/>
  <c r="AX64" i="9"/>
  <c r="BC64" i="9" s="1"/>
  <c r="BC59" i="9"/>
  <c r="AX67" i="9"/>
  <c r="BC67" i="9" s="1"/>
  <c r="AX54" i="9"/>
  <c r="BC46" i="9"/>
  <c r="BD50" i="9" s="1"/>
  <c r="BE56" i="9"/>
  <c r="AZ64" i="9"/>
  <c r="BE64" i="9" s="1"/>
  <c r="BC55" i="9"/>
  <c r="AX63" i="9"/>
  <c r="BC63" i="9" s="1"/>
  <c r="AX66" i="9"/>
  <c r="BC66" i="9" s="1"/>
  <c r="BC58" i="9"/>
  <c r="AZ63" i="9"/>
  <c r="BE63" i="9" s="1"/>
  <c r="BE55" i="9"/>
  <c r="AZ62" i="9"/>
  <c r="BE62" i="9" s="1"/>
  <c r="BE54" i="9"/>
  <c r="CA54" i="9"/>
  <c r="CF46" i="9"/>
  <c r="CG50" i="9" s="1"/>
  <c r="F48" i="9" l="1"/>
  <c r="CF54" i="9"/>
  <c r="CG58" i="9" s="1"/>
  <c r="CA62" i="9"/>
  <c r="CF62" i="9" s="1"/>
  <c r="CG66" i="9" s="1"/>
  <c r="BC54" i="9"/>
  <c r="BD58" i="9" s="1"/>
  <c r="AX62" i="9"/>
  <c r="BC62" i="9" s="1"/>
  <c r="BD66" i="9" s="1"/>
  <c r="F56" i="9" l="1"/>
  <c r="F64" i="9"/>
</calcChain>
</file>

<file path=xl/comments1.xml><?xml version="1.0" encoding="utf-8"?>
<comments xmlns="http://schemas.openxmlformats.org/spreadsheetml/2006/main">
  <authors>
    <author>城陽市役所</author>
  </authors>
  <commentList>
    <comment ref="O54" authorId="0" shapeId="0">
      <text>
        <r>
          <rPr>
            <b/>
            <sz val="9"/>
            <color indexed="81"/>
            <rFont val="MS P ゴシック"/>
            <family val="3"/>
            <charset val="128"/>
          </rPr>
          <t>所得－１０万　するかどうかの判定</t>
        </r>
      </text>
    </comment>
    <comment ref="O55" authorId="0" shapeId="0">
      <text>
        <r>
          <rPr>
            <b/>
            <sz val="9"/>
            <color indexed="81"/>
            <rFont val="MS P ゴシック"/>
            <family val="3"/>
            <charset val="128"/>
          </rPr>
          <t>軽減判定時の人数判定</t>
        </r>
      </text>
    </comment>
  </commentList>
</comments>
</file>

<file path=xl/comments2.xml><?xml version="1.0" encoding="utf-8"?>
<comments xmlns="http://schemas.openxmlformats.org/spreadsheetml/2006/main">
  <authors>
    <author>城陽市役所</author>
  </authors>
  <commentList>
    <comment ref="W10" authorId="0" shapeId="0">
      <text>
        <r>
          <rPr>
            <b/>
            <sz val="18"/>
            <color indexed="81"/>
            <rFont val="MS P ゴシック"/>
            <family val="3"/>
            <charset val="128"/>
          </rPr>
          <t>使用する場合は、今回加入する世帯員を①に入力すること</t>
        </r>
      </text>
    </comment>
    <comment ref="W11" authorId="0" shapeId="0">
      <text>
        <r>
          <rPr>
            <b/>
            <sz val="16"/>
            <color indexed="81"/>
            <rFont val="MS P ゴシック"/>
            <family val="3"/>
            <charset val="128"/>
          </rPr>
          <t>使用する場合は、今回加入する世帯員を①に入力すること</t>
        </r>
      </text>
    </comment>
  </commentList>
</comments>
</file>

<file path=xl/comments3.xml><?xml version="1.0" encoding="utf-8"?>
<comments xmlns="http://schemas.openxmlformats.org/spreadsheetml/2006/main">
  <authors>
    <author>国保医療課KGS</author>
  </authors>
  <commentList>
    <comment ref="N11" authorId="0" shapeId="0">
      <text>
        <r>
          <rPr>
            <b/>
            <sz val="9"/>
            <color indexed="81"/>
            <rFont val="MS P ゴシック"/>
            <family val="3"/>
            <charset val="128"/>
          </rPr>
          <t>5割り軽減プラス分を入力</t>
        </r>
      </text>
    </comment>
    <comment ref="N12" authorId="0" shapeId="0">
      <text>
        <r>
          <rPr>
            <b/>
            <sz val="9"/>
            <color indexed="81"/>
            <rFont val="MS P ゴシック"/>
            <family val="3"/>
            <charset val="128"/>
          </rPr>
          <t>２割軽減プラス分を入力</t>
        </r>
      </text>
    </comment>
  </commentList>
</comments>
</file>

<file path=xl/comments4.xml><?xml version="1.0" encoding="utf-8"?>
<comments xmlns="http://schemas.openxmlformats.org/spreadsheetml/2006/main">
  <authors>
    <author>森　哲也</author>
  </authors>
  <commentList>
    <comment ref="F14" authorId="0" shapeId="0">
      <text>
        <r>
          <rPr>
            <sz val="18"/>
            <color indexed="10"/>
            <rFont val="ＭＳ Ｐゴシック"/>
            <family val="3"/>
            <charset val="128"/>
          </rPr>
          <t>①で期割の端数調整</t>
        </r>
      </text>
    </comment>
  </commentList>
</comments>
</file>

<file path=xl/comments5.xml><?xml version="1.0" encoding="utf-8"?>
<comments xmlns="http://schemas.openxmlformats.org/spreadsheetml/2006/main">
  <authors>
    <author>森　哲也</author>
    <author>Administrator</author>
  </authors>
  <commentList>
    <comment ref="AH15" authorId="0" shapeId="0">
      <text>
        <r>
          <rPr>
            <sz val="9"/>
            <color indexed="10"/>
            <rFont val="ＭＳ Ｐゴシック"/>
            <family val="3"/>
            <charset val="128"/>
          </rPr>
          <t>１２ヶ月以外は１</t>
        </r>
      </text>
    </comment>
    <comment ref="AH104" authorId="0" shapeId="0">
      <text>
        <r>
          <rPr>
            <sz val="9"/>
            <color indexed="10"/>
            <rFont val="ＭＳ Ｐゴシック"/>
            <family val="3"/>
            <charset val="128"/>
          </rPr>
          <t>１２ヶ月以外は１</t>
        </r>
      </text>
    </comment>
    <comment ref="AH192" authorId="0" shapeId="0">
      <text>
        <r>
          <rPr>
            <sz val="9"/>
            <color indexed="10"/>
            <rFont val="ＭＳ Ｐゴシック"/>
            <family val="3"/>
            <charset val="128"/>
          </rPr>
          <t>１２ヶ月以外は１</t>
        </r>
      </text>
    </comment>
    <comment ref="R197" authorId="1" shapeId="0">
      <text>
        <r>
          <rPr>
            <b/>
            <sz val="9"/>
            <color indexed="81"/>
            <rFont val="MS P ゴシック"/>
            <family val="3"/>
            <charset val="128"/>
          </rPr>
          <t>調整値+1</t>
        </r>
      </text>
    </comment>
  </commentList>
</comments>
</file>

<file path=xl/sharedStrings.xml><?xml version="1.0" encoding="utf-8"?>
<sst xmlns="http://schemas.openxmlformats.org/spreadsheetml/2006/main" count="6805" uniqueCount="560">
  <si>
    <t>所得割</t>
    <rPh sb="0" eb="2">
      <t>ショトク</t>
    </rPh>
    <rPh sb="2" eb="3">
      <t>ワリ</t>
    </rPh>
    <phoneticPr fontId="2"/>
  </si>
  <si>
    <t>平等割</t>
    <rPh sb="0" eb="2">
      <t>ビョウドウ</t>
    </rPh>
    <rPh sb="2" eb="3">
      <t>ワリ</t>
    </rPh>
    <phoneticPr fontId="2"/>
  </si>
  <si>
    <t>［医療分］</t>
    <rPh sb="1" eb="3">
      <t>イリョウ</t>
    </rPh>
    <rPh sb="3" eb="4">
      <t>ブン</t>
    </rPh>
    <phoneticPr fontId="2"/>
  </si>
  <si>
    <t>［介護分］</t>
    <rPh sb="1" eb="3">
      <t>カイゴ</t>
    </rPh>
    <rPh sb="3" eb="4">
      <t>ブン</t>
    </rPh>
    <phoneticPr fontId="2"/>
  </si>
  <si>
    <t>人</t>
    <rPh sb="0" eb="1">
      <t>ニン</t>
    </rPh>
    <phoneticPr fontId="2"/>
  </si>
  <si>
    <t>ヶ月</t>
    <rPh sb="1" eb="2">
      <t>ゲツ</t>
    </rPh>
    <phoneticPr fontId="2"/>
  </si>
  <si>
    <t>円</t>
    <rPh sb="0" eb="1">
      <t>エン</t>
    </rPh>
    <phoneticPr fontId="2"/>
  </si>
  <si>
    <t>（</t>
    <phoneticPr fontId="2"/>
  </si>
  <si>
    <t>加入月</t>
    <rPh sb="0" eb="1">
      <t>カ</t>
    </rPh>
    <rPh sb="1" eb="2">
      <t>ニュウ</t>
    </rPh>
    <rPh sb="2" eb="3">
      <t>ツキ</t>
    </rPh>
    <phoneticPr fontId="2"/>
  </si>
  <si>
    <t>↓加入月</t>
    <rPh sb="1" eb="2">
      <t>カ</t>
    </rPh>
    <rPh sb="2" eb="3">
      <t>ニュウ</t>
    </rPh>
    <rPh sb="3" eb="4">
      <t>ツキ</t>
    </rPh>
    <phoneticPr fontId="2"/>
  </si>
  <si>
    <t>均等割</t>
    <rPh sb="0" eb="3">
      <t>キントウワ</t>
    </rPh>
    <phoneticPr fontId="2"/>
  </si>
  <si>
    <t>様</t>
    <rPh sb="0" eb="1">
      <t>サマ</t>
    </rPh>
    <phoneticPr fontId="2"/>
  </si>
  <si>
    <t>医療分保険料</t>
    <rPh sb="0" eb="2">
      <t>イリョウ</t>
    </rPh>
    <rPh sb="2" eb="3">
      <t>ブン</t>
    </rPh>
    <rPh sb="3" eb="5">
      <t>ホケン</t>
    </rPh>
    <rPh sb="5" eb="6">
      <t>リョウ</t>
    </rPh>
    <phoneticPr fontId="2"/>
  </si>
  <si>
    <t>（100円未満切捨）</t>
    <rPh sb="4" eb="5">
      <t>エン</t>
    </rPh>
    <rPh sb="5" eb="7">
      <t>ミマン</t>
    </rPh>
    <rPh sb="7" eb="9">
      <t>キリス</t>
    </rPh>
    <phoneticPr fontId="2"/>
  </si>
  <si>
    <t>＝</t>
    <phoneticPr fontId="2"/>
  </si>
  <si>
    <t>（単位：円）</t>
    <rPh sb="1" eb="3">
      <t>タンイ</t>
    </rPh>
    <rPh sb="4" eb="5">
      <t>エン</t>
    </rPh>
    <phoneticPr fontId="2"/>
  </si>
  <si>
    <t>【医療分】賦課料率</t>
    <rPh sb="1" eb="3">
      <t>イリョウ</t>
    </rPh>
    <rPh sb="3" eb="4">
      <t>ブン</t>
    </rPh>
    <rPh sb="5" eb="7">
      <t>フカ</t>
    </rPh>
    <rPh sb="7" eb="9">
      <t>リョウリツ</t>
    </rPh>
    <phoneticPr fontId="2"/>
  </si>
  <si>
    <t>均等割</t>
    <rPh sb="0" eb="2">
      <t>キントウ</t>
    </rPh>
    <rPh sb="2" eb="3">
      <t>ワリ</t>
    </rPh>
    <phoneticPr fontId="2"/>
  </si>
  <si>
    <t>限度超過</t>
    <rPh sb="0" eb="2">
      <t>ゲンド</t>
    </rPh>
    <rPh sb="2" eb="4">
      <t>チョウカ</t>
    </rPh>
    <phoneticPr fontId="2"/>
  </si>
  <si>
    <t>料率</t>
    <rPh sb="0" eb="2">
      <t>リョウリツ</t>
    </rPh>
    <phoneticPr fontId="2"/>
  </si>
  <si>
    <t>【介護分】賦課料率</t>
    <rPh sb="1" eb="3">
      <t>カイゴ</t>
    </rPh>
    <rPh sb="3" eb="4">
      <t>ブン</t>
    </rPh>
    <rPh sb="5" eb="7">
      <t>フカ</t>
    </rPh>
    <rPh sb="7" eb="9">
      <t>リョウリツ</t>
    </rPh>
    <phoneticPr fontId="2"/>
  </si>
  <si>
    <t>控除</t>
    <rPh sb="0" eb="2">
      <t>コウジョ</t>
    </rPh>
    <phoneticPr fontId="2"/>
  </si>
  <si>
    <t>）</t>
    <phoneticPr fontId="2"/>
  </si>
  <si>
    <t>割軽減世帯</t>
    <rPh sb="0" eb="1">
      <t>ワリ</t>
    </rPh>
    <rPh sb="1" eb="3">
      <t>ケイゲン</t>
    </rPh>
    <rPh sb="3" eb="5">
      <t>セタイ</t>
    </rPh>
    <phoneticPr fontId="2"/>
  </si>
  <si>
    <t>軽減額</t>
    <rPh sb="0" eb="2">
      <t>ケイゲン</t>
    </rPh>
    <rPh sb="2" eb="3">
      <t>ガク</t>
    </rPh>
    <phoneticPr fontId="2"/>
  </si>
  <si>
    <t>1年</t>
    <rPh sb="0" eb="2">
      <t>イチネン</t>
    </rPh>
    <phoneticPr fontId="2"/>
  </si>
  <si>
    <t>人数</t>
    <rPh sb="0" eb="2">
      <t>ニンズウ</t>
    </rPh>
    <phoneticPr fontId="2"/>
  </si>
  <si>
    <t>軽減金額</t>
    <rPh sb="0" eb="2">
      <t>ケイゲン</t>
    </rPh>
    <rPh sb="2" eb="4">
      <t>キンガク</t>
    </rPh>
    <phoneticPr fontId="2"/>
  </si>
  <si>
    <t>加入人数</t>
    <rPh sb="0" eb="1">
      <t>カ</t>
    </rPh>
    <rPh sb="1" eb="2">
      <t>ニュウ</t>
    </rPh>
    <rPh sb="2" eb="4">
      <t>ニンズウ</t>
    </rPh>
    <phoneticPr fontId="2"/>
  </si>
  <si>
    <t>個人合計</t>
    <rPh sb="0" eb="2">
      <t>コジン</t>
    </rPh>
    <rPh sb="2" eb="4">
      <t>ゴウケイ</t>
    </rPh>
    <phoneticPr fontId="2"/>
  </si>
  <si>
    <t>小計</t>
    <rPh sb="0" eb="2">
      <t>ショウケイ</t>
    </rPh>
    <phoneticPr fontId="2"/>
  </si>
  <si>
    <t>100円未満切捨</t>
    <rPh sb="3" eb="4">
      <t>エン</t>
    </rPh>
    <rPh sb="4" eb="6">
      <t>ミマン</t>
    </rPh>
    <rPh sb="6" eb="7">
      <t>キ</t>
    </rPh>
    <rPh sb="7" eb="8">
      <t>ス</t>
    </rPh>
    <phoneticPr fontId="2"/>
  </si>
  <si>
    <t>個人保険料</t>
    <rPh sb="0" eb="2">
      <t>コジン</t>
    </rPh>
    <rPh sb="2" eb="4">
      <t>ホケン</t>
    </rPh>
    <rPh sb="4" eb="5">
      <t>リョウ</t>
    </rPh>
    <phoneticPr fontId="2"/>
  </si>
  <si>
    <t>↓総所得金額</t>
    <rPh sb="1" eb="2">
      <t>ソウ</t>
    </rPh>
    <rPh sb="2" eb="4">
      <t>ショトク</t>
    </rPh>
    <rPh sb="4" eb="6">
      <t>キンガク</t>
    </rPh>
    <phoneticPr fontId="2"/>
  </si>
  <si>
    <t>1期</t>
    <rPh sb="1" eb="2">
      <t>キ</t>
    </rPh>
    <phoneticPr fontId="2"/>
  </si>
  <si>
    <t>2期</t>
    <rPh sb="1" eb="2">
      <t>キ</t>
    </rPh>
    <phoneticPr fontId="2"/>
  </si>
  <si>
    <t>3期</t>
    <rPh sb="1" eb="2">
      <t>キ</t>
    </rPh>
    <phoneticPr fontId="2"/>
  </si>
  <si>
    <t>5期</t>
    <rPh sb="1" eb="2">
      <t>キ</t>
    </rPh>
    <phoneticPr fontId="2"/>
  </si>
  <si>
    <t>6期</t>
    <rPh sb="1" eb="2">
      <t>キ</t>
    </rPh>
    <phoneticPr fontId="2"/>
  </si>
  <si>
    <t>7期</t>
    <rPh sb="1" eb="2">
      <t>キ</t>
    </rPh>
    <phoneticPr fontId="2"/>
  </si>
  <si>
    <t>8期</t>
    <rPh sb="1" eb="2">
      <t>キ</t>
    </rPh>
    <phoneticPr fontId="2"/>
  </si>
  <si>
    <t>9期</t>
    <rPh sb="1" eb="2">
      <t>キ</t>
    </rPh>
    <phoneticPr fontId="2"/>
  </si>
  <si>
    <t>10期</t>
    <rPh sb="2" eb="3">
      <t>キ</t>
    </rPh>
    <phoneticPr fontId="2"/>
  </si>
  <si>
    <t>4期</t>
    <rPh sb="1" eb="2">
      <t>キ</t>
    </rPh>
    <phoneticPr fontId="2"/>
  </si>
  <si>
    <t>合計</t>
    <rPh sb="0" eb="2">
      <t>ゴウケイ</t>
    </rPh>
    <phoneticPr fontId="2"/>
  </si>
  <si>
    <t>⑥</t>
    <phoneticPr fontId="2"/>
  </si>
  <si>
    <t>期割内訳</t>
    <rPh sb="0" eb="1">
      <t>キ</t>
    </rPh>
    <rPh sb="1" eb="2">
      <t>ワリ</t>
    </rPh>
    <rPh sb="2" eb="4">
      <t>ウチワケ</t>
    </rPh>
    <phoneticPr fontId="2"/>
  </si>
  <si>
    <t>保険料内訳</t>
    <rPh sb="0" eb="2">
      <t>ホケン</t>
    </rPh>
    <rPh sb="2" eb="3">
      <t>リョウ</t>
    </rPh>
    <rPh sb="3" eb="5">
      <t>ウチワケ</t>
    </rPh>
    <phoneticPr fontId="2"/>
  </si>
  <si>
    <t>（保険者番号　　城</t>
    <rPh sb="1" eb="4">
      <t>ホケンシャ</t>
    </rPh>
    <rPh sb="4" eb="6">
      <t>バンゴウ</t>
    </rPh>
    <rPh sb="8" eb="9">
      <t>シロ</t>
    </rPh>
    <phoneticPr fontId="2"/>
  </si>
  <si>
    <t>⑦</t>
    <phoneticPr fontId="2"/>
  </si>
  <si>
    <t>医療分期割</t>
    <rPh sb="0" eb="2">
      <t>イリョウ</t>
    </rPh>
    <rPh sb="2" eb="3">
      <t>ブン</t>
    </rPh>
    <rPh sb="3" eb="4">
      <t>キ</t>
    </rPh>
    <rPh sb="4" eb="5">
      <t>ワリ</t>
    </rPh>
    <phoneticPr fontId="2"/>
  </si>
  <si>
    <t>①</t>
    <phoneticPr fontId="2"/>
  </si>
  <si>
    <t>②</t>
    <phoneticPr fontId="2"/>
  </si>
  <si>
    <t>③</t>
    <phoneticPr fontId="2"/>
  </si>
  <si>
    <t>④</t>
    <phoneticPr fontId="2"/>
  </si>
  <si>
    <t>⑤</t>
    <phoneticPr fontId="2"/>
  </si>
  <si>
    <t>対象者</t>
    <rPh sb="0" eb="3">
      <t>タイショウシャ</t>
    </rPh>
    <phoneticPr fontId="2"/>
  </si>
  <si>
    <t>介護該当は１⇒</t>
    <rPh sb="0" eb="2">
      <t>カイゴ</t>
    </rPh>
    <rPh sb="2" eb="4">
      <t>ガイトウ</t>
    </rPh>
    <phoneticPr fontId="2"/>
  </si>
  <si>
    <t>－</t>
    <phoneticPr fontId="2"/>
  </si>
  <si>
    <t>×</t>
    <phoneticPr fontId="2"/>
  </si>
  <si>
    <t>被保険者番号</t>
    <rPh sb="0" eb="4">
      <t>ヒホケンシャ</t>
    </rPh>
    <rPh sb="4" eb="6">
      <t>バンゴウ</t>
    </rPh>
    <phoneticPr fontId="2"/>
  </si>
  <si>
    <t>城</t>
    <rPh sb="0" eb="1">
      <t>シロ</t>
    </rPh>
    <phoneticPr fontId="2"/>
  </si>
  <si>
    <t>国保加入月数</t>
    <rPh sb="0" eb="2">
      <t>コクホ</t>
    </rPh>
    <rPh sb="2" eb="4">
      <t>カニュウ</t>
    </rPh>
    <rPh sb="4" eb="5">
      <t>ツキ</t>
    </rPh>
    <rPh sb="5" eb="6">
      <t>スウ</t>
    </rPh>
    <phoneticPr fontId="2"/>
  </si>
  <si>
    <t>介護加入月数</t>
    <rPh sb="0" eb="2">
      <t>カイゴ</t>
    </rPh>
    <rPh sb="2" eb="4">
      <t>カニュウ</t>
    </rPh>
    <rPh sb="4" eb="5">
      <t>ツキ</t>
    </rPh>
    <rPh sb="5" eb="6">
      <t>スウ</t>
    </rPh>
    <phoneticPr fontId="2"/>
  </si>
  <si>
    <t>総所得金額</t>
    <rPh sb="0" eb="1">
      <t>ソウ</t>
    </rPh>
    <rPh sb="1" eb="3">
      <t>ショトク</t>
    </rPh>
    <rPh sb="3" eb="5">
      <t>キンガク</t>
    </rPh>
    <phoneticPr fontId="2"/>
  </si>
  <si>
    <r>
      <t>円　</t>
    </r>
    <r>
      <rPr>
        <sz val="16"/>
        <rFont val="ＭＳ 明朝"/>
        <family val="1"/>
        <charset val="128"/>
      </rPr>
      <t>⇒</t>
    </r>
    <rPh sb="0" eb="1">
      <t>エン</t>
    </rPh>
    <phoneticPr fontId="2"/>
  </si>
  <si>
    <t>（千円未満切捨て）</t>
    <rPh sb="1" eb="3">
      <t>センエン</t>
    </rPh>
    <rPh sb="3" eb="5">
      <t>ミマン</t>
    </rPh>
    <rPh sb="5" eb="7">
      <t>キリス</t>
    </rPh>
    <phoneticPr fontId="2"/>
  </si>
  <si>
    <t>氏名</t>
    <rPh sb="0" eb="2">
      <t>シメイ</t>
    </rPh>
    <phoneticPr fontId="2"/>
  </si>
  <si>
    <t>介護分期割</t>
    <rPh sb="0" eb="2">
      <t>カイゴ</t>
    </rPh>
    <rPh sb="2" eb="3">
      <t>ブン</t>
    </rPh>
    <rPh sb="3" eb="4">
      <t>キ</t>
    </rPh>
    <rPh sb="4" eb="5">
      <t>ワリ</t>
    </rPh>
    <phoneticPr fontId="2"/>
  </si>
  <si>
    <t>医療分</t>
    <rPh sb="0" eb="2">
      <t>イリョウ</t>
    </rPh>
    <rPh sb="2" eb="3">
      <t>ブン</t>
    </rPh>
    <phoneticPr fontId="2"/>
  </si>
  <si>
    <t>介護分</t>
    <rPh sb="0" eb="2">
      <t>カイゴ</t>
    </rPh>
    <rPh sb="2" eb="3">
      <t>ブン</t>
    </rPh>
    <phoneticPr fontId="2"/>
  </si>
  <si>
    <t>名前入力</t>
    <rPh sb="0" eb="2">
      <t>ナマエ</t>
    </rPh>
    <rPh sb="2" eb="4">
      <t>ニュウリョク</t>
    </rPh>
    <phoneticPr fontId="2"/>
  </si>
  <si>
    <t>所得入力</t>
    <rPh sb="0" eb="2">
      <t>ショトク</t>
    </rPh>
    <rPh sb="2" eb="4">
      <t>ニュウリョク</t>
    </rPh>
    <phoneticPr fontId="2"/>
  </si>
  <si>
    <t>１．年度途中に保険料変更があった者は期割り計算不可能｡</t>
    <rPh sb="2" eb="4">
      <t>ネンド</t>
    </rPh>
    <rPh sb="4" eb="6">
      <t>トチュウ</t>
    </rPh>
    <rPh sb="7" eb="9">
      <t>ホケン</t>
    </rPh>
    <rPh sb="9" eb="10">
      <t>リョウ</t>
    </rPh>
    <rPh sb="10" eb="12">
      <t>ヘンコウ</t>
    </rPh>
    <rPh sb="16" eb="17">
      <t>モノ</t>
    </rPh>
    <rPh sb="18" eb="19">
      <t>キ</t>
    </rPh>
    <rPh sb="19" eb="20">
      <t>ワ</t>
    </rPh>
    <rPh sb="21" eb="23">
      <t>ケイサン</t>
    </rPh>
    <rPh sb="23" eb="26">
      <t>フカノウ</t>
    </rPh>
    <phoneticPr fontId="2"/>
  </si>
  <si>
    <t>↓保険料及び期割の端数は①対象者で調整↓</t>
    <rPh sb="1" eb="3">
      <t>ホケン</t>
    </rPh>
    <rPh sb="3" eb="4">
      <t>リョウ</t>
    </rPh>
    <rPh sb="4" eb="5">
      <t>オヨ</t>
    </rPh>
    <rPh sb="6" eb="7">
      <t>キ</t>
    </rPh>
    <rPh sb="7" eb="8">
      <t>ワリ</t>
    </rPh>
    <rPh sb="9" eb="11">
      <t>ハスウ</t>
    </rPh>
    <rPh sb="13" eb="16">
      <t>タイショウシャ</t>
    </rPh>
    <rPh sb="17" eb="19">
      <t>チョウセイ</t>
    </rPh>
    <phoneticPr fontId="2"/>
  </si>
  <si>
    <t>保険料</t>
    <rPh sb="0" eb="3">
      <t>ホケンリョウ</t>
    </rPh>
    <phoneticPr fontId="2"/>
  </si>
  <si>
    <t>合　計</t>
    <rPh sb="0" eb="1">
      <t>ゴウ</t>
    </rPh>
    <rPh sb="2" eb="3">
      <t>ケイ</t>
    </rPh>
    <phoneticPr fontId="2"/>
  </si>
  <si>
    <t>氏　名</t>
    <rPh sb="0" eb="1">
      <t>シ</t>
    </rPh>
    <rPh sb="2" eb="3">
      <t>メイ</t>
    </rPh>
    <phoneticPr fontId="2"/>
  </si>
  <si>
    <t>城－</t>
    <rPh sb="0" eb="1">
      <t>シロ</t>
    </rPh>
    <phoneticPr fontId="2"/>
  </si>
  <si>
    <t>計算表</t>
    <rPh sb="0" eb="2">
      <t>ケイサン</t>
    </rPh>
    <rPh sb="2" eb="3">
      <t>ヒョウ</t>
    </rPh>
    <phoneticPr fontId="2"/>
  </si>
  <si>
    <t>計算表さわらないこと！！</t>
    <rPh sb="0" eb="2">
      <t>ケイサン</t>
    </rPh>
    <rPh sb="2" eb="3">
      <t>ヒョウ</t>
    </rPh>
    <phoneticPr fontId="2"/>
  </si>
  <si>
    <t>国民健康保険料</t>
    <rPh sb="0" eb="2">
      <t>コクミン</t>
    </rPh>
    <rPh sb="2" eb="4">
      <t>ケンコウ</t>
    </rPh>
    <rPh sb="4" eb="6">
      <t>ホケン</t>
    </rPh>
    <rPh sb="6" eb="7">
      <t>リョウ</t>
    </rPh>
    <phoneticPr fontId="2"/>
  </si>
  <si>
    <t>保険料個人内訳</t>
    <rPh sb="0" eb="2">
      <t>ホケン</t>
    </rPh>
    <rPh sb="2" eb="3">
      <t>リョウ</t>
    </rPh>
    <rPh sb="3" eb="5">
      <t>コジン</t>
    </rPh>
    <rPh sb="5" eb="7">
      <t>ウチワケ</t>
    </rPh>
    <phoneticPr fontId="2"/>
  </si>
  <si>
    <t>全体期割</t>
    <rPh sb="0" eb="2">
      <t>ゼンタイ</t>
    </rPh>
    <rPh sb="2" eb="3">
      <t>キ</t>
    </rPh>
    <rPh sb="3" eb="4">
      <t>ワリ</t>
    </rPh>
    <phoneticPr fontId="2"/>
  </si>
  <si>
    <t>（軽減判定基準）</t>
    <rPh sb="1" eb="3">
      <t>ケイゲン</t>
    </rPh>
    <rPh sb="3" eb="5">
      <t>ハンテイ</t>
    </rPh>
    <rPh sb="5" eb="7">
      <t>キジュン</t>
    </rPh>
    <phoneticPr fontId="2"/>
  </si>
  <si>
    <t>↓①から順に入力してください｡</t>
    <rPh sb="4" eb="5">
      <t>ジュン</t>
    </rPh>
    <rPh sb="6" eb="8">
      <t>ニュウリョク</t>
    </rPh>
    <phoneticPr fontId="2"/>
  </si>
  <si>
    <t>↓↓↓《青の箇所を入力》↓↓↓</t>
    <rPh sb="4" eb="5">
      <t>アオ</t>
    </rPh>
    <rPh sb="6" eb="8">
      <t>カショ</t>
    </rPh>
    <rPh sb="9" eb="11">
      <t>ニュウリョク</t>
    </rPh>
    <phoneticPr fontId="2"/>
  </si>
  <si>
    <t>（A)の複写</t>
    <rPh sb="4" eb="6">
      <t>フクシャ</t>
    </rPh>
    <phoneticPr fontId="2"/>
  </si>
  <si>
    <t>加入者に表示</t>
    <rPh sb="0" eb="3">
      <t>カニュウシャ</t>
    </rPh>
    <rPh sb="4" eb="6">
      <t>ヒョウジ</t>
    </rPh>
    <phoneticPr fontId="2"/>
  </si>
  <si>
    <t>期割内訳</t>
  </si>
  <si>
    <t>　金額（申告用）</t>
    <rPh sb="1" eb="3">
      <t>キンガク</t>
    </rPh>
    <rPh sb="4" eb="7">
      <t>シンコクヨウ</t>
    </rPh>
    <phoneticPr fontId="2"/>
  </si>
  <si>
    <t>その年に支払った</t>
    <rPh sb="2" eb="3">
      <t>トシ</t>
    </rPh>
    <rPh sb="4" eb="6">
      <t>シハラ</t>
    </rPh>
    <phoneticPr fontId="2"/>
  </si>
  <si>
    <t>支払金額</t>
    <rPh sb="0" eb="2">
      <t>シハライ</t>
    </rPh>
    <rPh sb="2" eb="4">
      <t>キンガク</t>
    </rPh>
    <phoneticPr fontId="2"/>
  </si>
  <si>
    <t>全納</t>
    <rPh sb="0" eb="2">
      <t>ゼンノウ</t>
    </rPh>
    <phoneticPr fontId="2"/>
  </si>
  <si>
    <t>それぞれの期までの合計</t>
    <rPh sb="5" eb="6">
      <t>キ</t>
    </rPh>
    <rPh sb="9" eb="11">
      <t>ゴウケイ</t>
    </rPh>
    <phoneticPr fontId="2"/>
  </si>
  <si>
    <t>振分け</t>
    <rPh sb="0" eb="2">
      <t>フリワ</t>
    </rPh>
    <phoneticPr fontId="2"/>
  </si>
  <si>
    <t>＊＊入力禁止＊＊</t>
    <rPh sb="2" eb="4">
      <t>ニュウリョク</t>
    </rPh>
    <rPh sb="4" eb="6">
      <t>キンシ</t>
    </rPh>
    <phoneticPr fontId="2"/>
  </si>
  <si>
    <t>その年に支払った金額　(申告用）</t>
    <rPh sb="2" eb="3">
      <t>ネン</t>
    </rPh>
    <rPh sb="4" eb="6">
      <t>シハラ</t>
    </rPh>
    <rPh sb="8" eb="10">
      <t>キンガク</t>
    </rPh>
    <rPh sb="12" eb="15">
      <t>シンコクヨウ</t>
    </rPh>
    <phoneticPr fontId="2"/>
  </si>
  <si>
    <t>入金</t>
    <rPh sb="0" eb="2">
      <t>ニュウキン</t>
    </rPh>
    <phoneticPr fontId="2"/>
  </si>
  <si>
    <t>現年分扱いは→１</t>
    <rPh sb="0" eb="2">
      <t>ゲンネン</t>
    </rPh>
    <rPh sb="2" eb="3">
      <t>ブン</t>
    </rPh>
    <rPh sb="3" eb="4">
      <t>アツカ</t>
    </rPh>
    <phoneticPr fontId="2"/>
  </si>
  <si>
    <t>旧年分扱いは→１</t>
    <rPh sb="0" eb="1">
      <t>フル</t>
    </rPh>
    <rPh sb="1" eb="2">
      <t>ネン</t>
    </rPh>
    <rPh sb="2" eb="3">
      <t>ブン</t>
    </rPh>
    <rPh sb="3" eb="4">
      <t>アツカ</t>
    </rPh>
    <phoneticPr fontId="2"/>
  </si>
  <si>
    <t>それぞれの期までの合計（現年）</t>
    <rPh sb="5" eb="6">
      <t>キ</t>
    </rPh>
    <rPh sb="9" eb="11">
      <t>ゴウケイ</t>
    </rPh>
    <rPh sb="12" eb="14">
      <t>ゲンネン</t>
    </rPh>
    <phoneticPr fontId="2"/>
  </si>
  <si>
    <t>旧年計算</t>
    <rPh sb="0" eb="1">
      <t>キュウ</t>
    </rPh>
    <rPh sb="1" eb="2">
      <t>ネン</t>
    </rPh>
    <rPh sb="2" eb="4">
      <t>ケイサン</t>
    </rPh>
    <phoneticPr fontId="2"/>
  </si>
  <si>
    <t>現年計算</t>
    <rPh sb="0" eb="2">
      <t>ゲンネン</t>
    </rPh>
    <rPh sb="2" eb="4">
      <t>ケイサン</t>
    </rPh>
    <phoneticPr fontId="2"/>
  </si>
  <si>
    <t>収納額</t>
    <rPh sb="0" eb="2">
      <t>シュウノウ</t>
    </rPh>
    <rPh sb="2" eb="3">
      <t>ガク</t>
    </rPh>
    <phoneticPr fontId="2"/>
  </si>
  <si>
    <t>有無</t>
    <rPh sb="0" eb="2">
      <t>ウム</t>
    </rPh>
    <phoneticPr fontId="2"/>
  </si>
  <si>
    <t>２．①から詰めて入力｡</t>
    <rPh sb="5" eb="6">
      <t>ツ</t>
    </rPh>
    <rPh sb="8" eb="10">
      <t>ニュウリョク</t>
    </rPh>
    <phoneticPr fontId="2"/>
  </si>
  <si>
    <t>金額</t>
    <rPh sb="0" eb="2">
      <t>キンガク</t>
    </rPh>
    <phoneticPr fontId="2"/>
  </si>
  <si>
    <t>最大値</t>
    <rPh sb="0" eb="3">
      <t>サイダイチ</t>
    </rPh>
    <phoneticPr fontId="2"/>
  </si>
  <si>
    <t>→</t>
    <phoneticPr fontId="2"/>
  </si>
  <si>
    <t>加入月割</t>
    <rPh sb="0" eb="1">
      <t>カ</t>
    </rPh>
    <rPh sb="1" eb="2">
      <t>ニュウ</t>
    </rPh>
    <rPh sb="2" eb="3">
      <t>ツキ</t>
    </rPh>
    <rPh sb="3" eb="4">
      <t>ワリ</t>
    </rPh>
    <phoneticPr fontId="2"/>
  </si>
  <si>
    <t>人数割</t>
    <rPh sb="0" eb="2">
      <t>ニンズ</t>
    </rPh>
    <rPh sb="2" eb="3">
      <t>ワ</t>
    </rPh>
    <phoneticPr fontId="2"/>
  </si>
  <si>
    <t>一人１ヶ月当</t>
    <rPh sb="0" eb="2">
      <t>ヒトリ</t>
    </rPh>
    <rPh sb="4" eb="5">
      <t>ゲツ</t>
    </rPh>
    <rPh sb="5" eb="6">
      <t>アタ</t>
    </rPh>
    <phoneticPr fontId="2"/>
  </si>
  <si>
    <t>平等割額</t>
    <rPh sb="0" eb="2">
      <t>ビョウドウ</t>
    </rPh>
    <rPh sb="2" eb="3">
      <t>ワリ</t>
    </rPh>
    <rPh sb="3" eb="4">
      <t>ガク</t>
    </rPh>
    <phoneticPr fontId="2"/>
  </si>
  <si>
    <t>加入月数</t>
    <rPh sb="0" eb="1">
      <t>カ</t>
    </rPh>
    <rPh sb="1" eb="2">
      <t>ニュウ</t>
    </rPh>
    <rPh sb="2" eb="3">
      <t>ツキ</t>
    </rPh>
    <rPh sb="3" eb="4">
      <t>スウ</t>
    </rPh>
    <phoneticPr fontId="2"/>
  </si>
  <si>
    <t>Ｂ</t>
    <phoneticPr fontId="2"/>
  </si>
  <si>
    <t>Ａ</t>
    <phoneticPr fontId="2"/>
  </si>
  <si>
    <t>計</t>
    <rPh sb="0" eb="1">
      <t>ケイ</t>
    </rPh>
    <phoneticPr fontId="2"/>
  </si>
  <si>
    <t>一人１ヶ月当り平等割額</t>
    <rPh sb="0" eb="2">
      <t>ヒトリ</t>
    </rPh>
    <rPh sb="4" eb="5">
      <t>ゲツ</t>
    </rPh>
    <rPh sb="5" eb="6">
      <t>アタ</t>
    </rPh>
    <rPh sb="7" eb="9">
      <t>ビョウドウ</t>
    </rPh>
    <rPh sb="9" eb="10">
      <t>ワリ</t>
    </rPh>
    <rPh sb="10" eb="11">
      <t>ガク</t>
    </rPh>
    <phoneticPr fontId="2"/>
  </si>
  <si>
    <t>介護分保険料</t>
    <rPh sb="0" eb="2">
      <t>カイゴ</t>
    </rPh>
    <rPh sb="2" eb="3">
      <t>ブン</t>
    </rPh>
    <rPh sb="3" eb="5">
      <t>ホケン</t>
    </rPh>
    <rPh sb="5" eb="6">
      <t>リョウ</t>
    </rPh>
    <phoneticPr fontId="2"/>
  </si>
  <si>
    <t>1ヶ月当り</t>
    <rPh sb="2" eb="3">
      <t>ゲツ</t>
    </rPh>
    <rPh sb="3" eb="4">
      <t>アタ</t>
    </rPh>
    <phoneticPr fontId="2"/>
  </si>
  <si>
    <t>（</t>
    <phoneticPr fontId="2"/>
  </si>
  <si>
    <t>)</t>
    <phoneticPr fontId="2"/>
  </si>
  <si>
    <t>（</t>
    <phoneticPr fontId="2"/>
  </si>
  <si>
    <t>Ｂ</t>
    <phoneticPr fontId="2"/>
  </si>
  <si>
    <t>Ａ÷Ｂ＝</t>
    <phoneticPr fontId="2"/>
  </si>
  <si>
    <t>（4）</t>
    <phoneticPr fontId="2"/>
  </si>
  <si>
    <t>①</t>
    <phoneticPr fontId="2"/>
  </si>
  <si>
    <t>（A)</t>
    <phoneticPr fontId="2"/>
  </si>
  <si>
    <t>（（</t>
    <phoneticPr fontId="2"/>
  </si>
  <si>
    <t>＝</t>
    <phoneticPr fontId="2"/>
  </si>
  <si>
    <t>×</t>
    <phoneticPr fontId="2"/>
  </si>
  <si>
    <t>①</t>
    <phoneticPr fontId="2"/>
  </si>
  <si>
    <t>②</t>
    <phoneticPr fontId="2"/>
  </si>
  <si>
    <t>③</t>
    <phoneticPr fontId="2"/>
  </si>
  <si>
    <t>④</t>
    <phoneticPr fontId="2"/>
  </si>
  <si>
    <t>⑤</t>
    <phoneticPr fontId="2"/>
  </si>
  <si>
    <t>⑥</t>
    <phoneticPr fontId="2"/>
  </si>
  <si>
    <t>⑦</t>
    <phoneticPr fontId="2"/>
  </si>
  <si>
    <t>限度超過　（医療）</t>
    <rPh sb="0" eb="2">
      <t>ゲンド</t>
    </rPh>
    <rPh sb="2" eb="4">
      <t>チョウカ</t>
    </rPh>
    <rPh sb="6" eb="8">
      <t>イリョウ</t>
    </rPh>
    <phoneticPr fontId="2"/>
  </si>
  <si>
    <t>限度超過　（介護）</t>
    <rPh sb="0" eb="2">
      <t>ゲンド</t>
    </rPh>
    <rPh sb="2" eb="4">
      <t>チョウカ</t>
    </rPh>
    <rPh sb="6" eb="8">
      <t>カイゴ</t>
    </rPh>
    <phoneticPr fontId="2"/>
  </si>
  <si>
    <t>限度超過計</t>
    <rPh sb="0" eb="2">
      <t>ゲンド</t>
    </rPh>
    <rPh sb="2" eb="4">
      <t>チョウカ</t>
    </rPh>
    <rPh sb="4" eb="5">
      <t>ケイ</t>
    </rPh>
    <phoneticPr fontId="2"/>
  </si>
  <si>
    <t>12ヶ月以外合計</t>
    <rPh sb="3" eb="4">
      <t>ゲツ</t>
    </rPh>
    <rPh sb="4" eb="6">
      <t>イガイ</t>
    </rPh>
    <rPh sb="6" eb="8">
      <t>ゴウケイ</t>
    </rPh>
    <phoneticPr fontId="2"/>
  </si>
  <si>
    <t>全納</t>
    <rPh sb="0" eb="1">
      <t>ゼン</t>
    </rPh>
    <rPh sb="1" eb="2">
      <t>ノウ</t>
    </rPh>
    <phoneticPr fontId="2"/>
  </si>
  <si>
    <t>①</t>
    <phoneticPr fontId="2"/>
  </si>
  <si>
    <t>②</t>
    <phoneticPr fontId="2"/>
  </si>
  <si>
    <t>③</t>
    <phoneticPr fontId="2"/>
  </si>
  <si>
    <t>④</t>
    <phoneticPr fontId="2"/>
  </si>
  <si>
    <t>⑤</t>
    <phoneticPr fontId="2"/>
  </si>
  <si>
    <t>⑥</t>
    <phoneticPr fontId="2"/>
  </si>
  <si>
    <t>⑦</t>
    <phoneticPr fontId="2"/>
  </si>
  <si>
    <t>①</t>
    <phoneticPr fontId="2"/>
  </si>
  <si>
    <t>②</t>
    <phoneticPr fontId="2"/>
  </si>
  <si>
    <t>③</t>
    <phoneticPr fontId="2"/>
  </si>
  <si>
    <t>④</t>
    <phoneticPr fontId="2"/>
  </si>
  <si>
    <t>⑤</t>
    <phoneticPr fontId="2"/>
  </si>
  <si>
    <t>⑥</t>
    <phoneticPr fontId="2"/>
  </si>
  <si>
    <t>⑦</t>
    <phoneticPr fontId="2"/>
  </si>
  <si>
    <t>↓↓料　率　入　力↓↓</t>
    <rPh sb="2" eb="3">
      <t>リョウ</t>
    </rPh>
    <rPh sb="4" eb="5">
      <t>リツ</t>
    </rPh>
    <rPh sb="6" eb="7">
      <t>イ</t>
    </rPh>
    <rPh sb="8" eb="9">
      <t>チカラ</t>
    </rPh>
    <phoneticPr fontId="2"/>
  </si>
  <si>
    <t>支援分</t>
    <rPh sb="0" eb="2">
      <t>シエン</t>
    </rPh>
    <rPh sb="2" eb="3">
      <t>ブン</t>
    </rPh>
    <phoneticPr fontId="2"/>
  </si>
  <si>
    <t>［支援分］</t>
    <rPh sb="1" eb="3">
      <t>シエン</t>
    </rPh>
    <rPh sb="3" eb="4">
      <t>ブン</t>
    </rPh>
    <phoneticPr fontId="2"/>
  </si>
  <si>
    <t>支援分保険料</t>
    <rPh sb="0" eb="2">
      <t>シエン</t>
    </rPh>
    <rPh sb="2" eb="3">
      <t>ブン</t>
    </rPh>
    <rPh sb="3" eb="5">
      <t>ホケン</t>
    </rPh>
    <rPh sb="5" eb="6">
      <t>リョウ</t>
    </rPh>
    <phoneticPr fontId="2"/>
  </si>
  <si>
    <t>【支援分】賦課料率</t>
    <rPh sb="1" eb="3">
      <t>シエン</t>
    </rPh>
    <rPh sb="3" eb="4">
      <t>ブン</t>
    </rPh>
    <rPh sb="5" eb="7">
      <t>フカ</t>
    </rPh>
    <rPh sb="7" eb="9">
      <t>リョウリツ</t>
    </rPh>
    <phoneticPr fontId="2"/>
  </si>
  <si>
    <t>1ヶ月当りの保険料　</t>
    <rPh sb="2" eb="3">
      <t>ゲツ</t>
    </rPh>
    <rPh sb="3" eb="4">
      <t>アタ</t>
    </rPh>
    <rPh sb="6" eb="8">
      <t>ホケン</t>
    </rPh>
    <rPh sb="8" eb="9">
      <t>リョウ</t>
    </rPh>
    <phoneticPr fontId="2"/>
  </si>
  <si>
    <t>その年に支払った金額(申告用）</t>
    <rPh sb="2" eb="3">
      <t>ネン</t>
    </rPh>
    <rPh sb="4" eb="6">
      <t>シハラ</t>
    </rPh>
    <rPh sb="8" eb="10">
      <t>キンガク</t>
    </rPh>
    <rPh sb="11" eb="14">
      <t>シンコクヨウ</t>
    </rPh>
    <phoneticPr fontId="2"/>
  </si>
  <si>
    <t>支援分期割</t>
    <rPh sb="0" eb="2">
      <t>シエン</t>
    </rPh>
    <rPh sb="2" eb="3">
      <t>ブン</t>
    </rPh>
    <rPh sb="3" eb="4">
      <t>キ</t>
    </rPh>
    <rPh sb="4" eb="5">
      <t>ワリ</t>
    </rPh>
    <phoneticPr fontId="2"/>
  </si>
  <si>
    <t>上のＡより</t>
    <rPh sb="0" eb="1">
      <t>ウエ</t>
    </rPh>
    <phoneticPr fontId="2"/>
  </si>
  <si>
    <t>Ａ</t>
    <phoneticPr fontId="2"/>
  </si>
  <si>
    <t>医</t>
    <rPh sb="0" eb="1">
      <t>イ</t>
    </rPh>
    <phoneticPr fontId="2"/>
  </si>
  <si>
    <t>療</t>
    <rPh sb="0" eb="1">
      <t>リョウ</t>
    </rPh>
    <phoneticPr fontId="2"/>
  </si>
  <si>
    <t>支</t>
    <rPh sb="0" eb="1">
      <t>ササ</t>
    </rPh>
    <phoneticPr fontId="2"/>
  </si>
  <si>
    <t>援</t>
    <rPh sb="0" eb="1">
      <t>エン</t>
    </rPh>
    <phoneticPr fontId="2"/>
  </si>
  <si>
    <t>介</t>
    <rPh sb="0" eb="1">
      <t>スケ</t>
    </rPh>
    <phoneticPr fontId="2"/>
  </si>
  <si>
    <t>護</t>
    <rPh sb="0" eb="1">
      <t>ユズル</t>
    </rPh>
    <phoneticPr fontId="2"/>
  </si>
  <si>
    <t>限度超過　（支援）</t>
    <rPh sb="0" eb="2">
      <t>ゲンド</t>
    </rPh>
    <rPh sb="2" eb="4">
      <t>チョウカ</t>
    </rPh>
    <rPh sb="6" eb="8">
      <t>シエン</t>
    </rPh>
    <phoneticPr fontId="2"/>
  </si>
  <si>
    <t>←限度超過サイン</t>
    <rPh sb="1" eb="3">
      <t>ゲンド</t>
    </rPh>
    <rPh sb="3" eb="5">
      <t>チョウカ</t>
    </rPh>
    <phoneticPr fontId="2"/>
  </si>
  <si>
    <t>介護按分率</t>
    <rPh sb="0" eb="2">
      <t>カイゴ</t>
    </rPh>
    <rPh sb="2" eb="4">
      <t>アンブン</t>
    </rPh>
    <rPh sb="4" eb="5">
      <t>リツ</t>
    </rPh>
    <phoneticPr fontId="80"/>
  </si>
  <si>
    <t>支援按分率</t>
    <rPh sb="0" eb="2">
      <t>シエン</t>
    </rPh>
    <rPh sb="2" eb="4">
      <t>アンブン</t>
    </rPh>
    <rPh sb="4" eb="5">
      <t>リツ</t>
    </rPh>
    <phoneticPr fontId="80"/>
  </si>
  <si>
    <t>期別計－介護－支援</t>
    <rPh sb="0" eb="1">
      <t>キ</t>
    </rPh>
    <rPh sb="1" eb="2">
      <t>ベツ</t>
    </rPh>
    <rPh sb="2" eb="3">
      <t>ケイ</t>
    </rPh>
    <rPh sb="4" eb="6">
      <t>カイゴ</t>
    </rPh>
    <rPh sb="7" eb="9">
      <t>シエン</t>
    </rPh>
    <phoneticPr fontId="80"/>
  </si>
  <si>
    <t>期別計×介護按分率</t>
    <rPh sb="0" eb="1">
      <t>キ</t>
    </rPh>
    <rPh sb="1" eb="2">
      <t>ベツ</t>
    </rPh>
    <rPh sb="2" eb="3">
      <t>ケイ</t>
    </rPh>
    <rPh sb="4" eb="6">
      <t>カイゴ</t>
    </rPh>
    <rPh sb="6" eb="8">
      <t>アンブン</t>
    </rPh>
    <rPh sb="8" eb="9">
      <t>リツ</t>
    </rPh>
    <phoneticPr fontId="80"/>
  </si>
  <si>
    <t>介護調定÷全体調定</t>
    <rPh sb="0" eb="2">
      <t>カイゴ</t>
    </rPh>
    <rPh sb="2" eb="4">
      <t>チョウテイ</t>
    </rPh>
    <rPh sb="5" eb="7">
      <t>ゼンタイ</t>
    </rPh>
    <rPh sb="7" eb="9">
      <t>チョウテイ</t>
    </rPh>
    <phoneticPr fontId="80"/>
  </si>
  <si>
    <t>支援調定÷（医療調定＋支援調定）</t>
    <rPh sb="0" eb="2">
      <t>シエン</t>
    </rPh>
    <rPh sb="2" eb="4">
      <t>チョウテイ</t>
    </rPh>
    <rPh sb="6" eb="8">
      <t>イリョウ</t>
    </rPh>
    <rPh sb="8" eb="10">
      <t>チョウテイ</t>
    </rPh>
    <rPh sb="11" eb="13">
      <t>シエン</t>
    </rPh>
    <rPh sb="13" eb="15">
      <t>チョウテイ</t>
    </rPh>
    <phoneticPr fontId="80"/>
  </si>
  <si>
    <t>小数８位まで</t>
    <rPh sb="0" eb="2">
      <t>ショウスウ</t>
    </rPh>
    <rPh sb="3" eb="4">
      <t>イ</t>
    </rPh>
    <phoneticPr fontId="80"/>
  </si>
  <si>
    <t>小数点１位を四捨五入</t>
    <rPh sb="0" eb="3">
      <t>ショウスウテン</t>
    </rPh>
    <rPh sb="4" eb="5">
      <t>イ</t>
    </rPh>
    <rPh sb="6" eb="10">
      <t>シシャゴニュウ</t>
    </rPh>
    <phoneticPr fontId="80"/>
  </si>
  <si>
    <t>介護、支援を調整した残りの額にする。</t>
    <rPh sb="0" eb="2">
      <t>カイゴ</t>
    </rPh>
    <rPh sb="3" eb="5">
      <t>シエン</t>
    </rPh>
    <rPh sb="6" eb="8">
      <t>チョウセイ</t>
    </rPh>
    <rPh sb="10" eb="11">
      <t>ノコ</t>
    </rPh>
    <rPh sb="13" eb="14">
      <t>ガク</t>
    </rPh>
    <phoneticPr fontId="80"/>
  </si>
  <si>
    <t>１期</t>
    <rPh sb="1" eb="2">
      <t>キ</t>
    </rPh>
    <phoneticPr fontId="2"/>
  </si>
  <si>
    <t>２期</t>
    <rPh sb="1" eb="2">
      <t>キ</t>
    </rPh>
    <phoneticPr fontId="2"/>
  </si>
  <si>
    <t>３期</t>
    <rPh sb="1" eb="2">
      <t>キ</t>
    </rPh>
    <phoneticPr fontId="2"/>
  </si>
  <si>
    <t>４期</t>
    <rPh sb="1" eb="2">
      <t>キ</t>
    </rPh>
    <phoneticPr fontId="2"/>
  </si>
  <si>
    <t>５期</t>
    <rPh sb="1" eb="2">
      <t>キ</t>
    </rPh>
    <phoneticPr fontId="2"/>
  </si>
  <si>
    <t>６期</t>
    <rPh sb="1" eb="2">
      <t>キ</t>
    </rPh>
    <phoneticPr fontId="2"/>
  </si>
  <si>
    <t>７期</t>
    <rPh sb="1" eb="2">
      <t>キ</t>
    </rPh>
    <phoneticPr fontId="2"/>
  </si>
  <si>
    <t>８期</t>
    <rPh sb="1" eb="2">
      <t>キ</t>
    </rPh>
    <phoneticPr fontId="2"/>
  </si>
  <si>
    <t>９期</t>
    <rPh sb="1" eb="2">
      <t>キ</t>
    </rPh>
    <phoneticPr fontId="2"/>
  </si>
  <si>
    <t>１０期</t>
    <rPh sb="2" eb="3">
      <t>キ</t>
    </rPh>
    <phoneticPr fontId="2"/>
  </si>
  <si>
    <t>合計し足りない分をで最後の期から遡って調整していく。</t>
    <rPh sb="0" eb="2">
      <t>ゴウケイ</t>
    </rPh>
    <rPh sb="3" eb="4">
      <t>タ</t>
    </rPh>
    <rPh sb="7" eb="8">
      <t>ブン</t>
    </rPh>
    <rPh sb="10" eb="12">
      <t>サイゴ</t>
    </rPh>
    <rPh sb="13" eb="14">
      <t>キ</t>
    </rPh>
    <rPh sb="16" eb="17">
      <t>サカノボ</t>
    </rPh>
    <rPh sb="19" eb="21">
      <t>チョウセイ</t>
    </rPh>
    <phoneticPr fontId="80"/>
  </si>
  <si>
    <t>期</t>
    <rPh sb="0" eb="1">
      <t>キ</t>
    </rPh>
    <phoneticPr fontId="2"/>
  </si>
  <si>
    <t>支援分</t>
    <rPh sb="0" eb="2">
      <t>シエン</t>
    </rPh>
    <rPh sb="2" eb="3">
      <t>ブン</t>
    </rPh>
    <phoneticPr fontId="80"/>
  </si>
  <si>
    <t>医療分</t>
    <rPh sb="0" eb="2">
      <t>イリョウ</t>
    </rPh>
    <rPh sb="2" eb="3">
      <t>ブン</t>
    </rPh>
    <phoneticPr fontId="80"/>
  </si>
  <si>
    <t>介護分</t>
    <rPh sb="0" eb="2">
      <t>カイゴ</t>
    </rPh>
    <rPh sb="2" eb="3">
      <t>ブン</t>
    </rPh>
    <phoneticPr fontId="80"/>
  </si>
  <si>
    <t>保険料合計</t>
    <rPh sb="0" eb="3">
      <t>ホケンリョウ</t>
    </rPh>
    <rPh sb="3" eb="5">
      <t>ゴウケイ</t>
    </rPh>
    <phoneticPr fontId="80"/>
  </si>
  <si>
    <t>（切捨て）</t>
    <rPh sb="1" eb="3">
      <t>キリス</t>
    </rPh>
    <phoneticPr fontId="2"/>
  </si>
  <si>
    <t>①保険料</t>
    <rPh sb="1" eb="4">
      <t>ホケンリョウ</t>
    </rPh>
    <phoneticPr fontId="2"/>
  </si>
  <si>
    <t>②計</t>
    <rPh sb="1" eb="2">
      <t>ケイ</t>
    </rPh>
    <phoneticPr fontId="2"/>
  </si>
  <si>
    <t>期割計算後の差</t>
    <rPh sb="0" eb="1">
      <t>キ</t>
    </rPh>
    <rPh sb="1" eb="2">
      <t>ワ</t>
    </rPh>
    <rPh sb="2" eb="4">
      <t>ケイサン</t>
    </rPh>
    <rPh sb="4" eb="5">
      <t>ゴ</t>
    </rPh>
    <rPh sb="6" eb="7">
      <t>サ</t>
    </rPh>
    <phoneticPr fontId="2"/>
  </si>
  <si>
    <t>保険料期割</t>
    <rPh sb="0" eb="3">
      <t>ホケンリョウ</t>
    </rPh>
    <rPh sb="3" eb="4">
      <t>キ</t>
    </rPh>
    <rPh sb="4" eb="5">
      <t>ワ</t>
    </rPh>
    <phoneticPr fontId="2"/>
  </si>
  <si>
    <t>↓</t>
    <phoneticPr fontId="2"/>
  </si>
  <si>
    <t>↑</t>
    <phoneticPr fontId="80"/>
  </si>
  <si>
    <t>①-②</t>
    <phoneticPr fontId="2"/>
  </si>
  <si>
    <t>↑</t>
    <phoneticPr fontId="80"/>
  </si>
  <si>
    <t>期割り計算</t>
    <rPh sb="0" eb="1">
      <t>キ</t>
    </rPh>
    <rPh sb="1" eb="2">
      <t>ワ</t>
    </rPh>
    <rPh sb="3" eb="5">
      <t>ケイサン</t>
    </rPh>
    <phoneticPr fontId="2"/>
  </si>
  <si>
    <t>個人ごと割10期</t>
    <rPh sb="0" eb="2">
      <t>コジン</t>
    </rPh>
    <rPh sb="4" eb="5">
      <t>ワ</t>
    </rPh>
    <rPh sb="7" eb="8">
      <t>キ</t>
    </rPh>
    <phoneticPr fontId="2"/>
  </si>
  <si>
    <t>保険料合計</t>
    <rPh sb="0" eb="3">
      <t>ホケンリョウ</t>
    </rPh>
    <rPh sb="3" eb="5">
      <t>ゴウケイ</t>
    </rPh>
    <phoneticPr fontId="2"/>
  </si>
  <si>
    <t>期割計算後の差</t>
    <rPh sb="0" eb="1">
      <t>キ</t>
    </rPh>
    <rPh sb="1" eb="2">
      <t>ワリ</t>
    </rPh>
    <rPh sb="2" eb="4">
      <t>ケイサン</t>
    </rPh>
    <rPh sb="4" eb="5">
      <t>ゴ</t>
    </rPh>
    <rPh sb="6" eb="7">
      <t>サ</t>
    </rPh>
    <phoneticPr fontId="2"/>
  </si>
  <si>
    <t>１０期より調整</t>
    <rPh sb="2" eb="3">
      <t>キ</t>
    </rPh>
    <rPh sb="5" eb="7">
      <t>チョウセイ</t>
    </rPh>
    <phoneticPr fontId="2"/>
  </si>
  <si>
    <t>【個人別期割計算】</t>
    <rPh sb="1" eb="3">
      <t>コジン</t>
    </rPh>
    <rPh sb="3" eb="4">
      <t>ベツ</t>
    </rPh>
    <rPh sb="4" eb="5">
      <t>キ</t>
    </rPh>
    <rPh sb="5" eb="6">
      <t>ワリ</t>
    </rPh>
    <rPh sb="6" eb="8">
      <t>ケイサン</t>
    </rPh>
    <phoneticPr fontId="2"/>
  </si>
  <si>
    <t>介護①</t>
    <rPh sb="0" eb="2">
      <t>カイゴ</t>
    </rPh>
    <phoneticPr fontId="2"/>
  </si>
  <si>
    <t>（１）</t>
    <phoneticPr fontId="2"/>
  </si>
  <si>
    <t>（２）差分を10期目から調整</t>
    <rPh sb="3" eb="4">
      <t>サ</t>
    </rPh>
    <rPh sb="4" eb="5">
      <t>ブン</t>
    </rPh>
    <rPh sb="8" eb="9">
      <t>キ</t>
    </rPh>
    <rPh sb="9" eb="10">
      <t>メ</t>
    </rPh>
    <rPh sb="12" eb="14">
      <t>チョウセイ</t>
    </rPh>
    <phoneticPr fontId="2"/>
  </si>
  <si>
    <t>介護按分率⇒</t>
    <rPh sb="0" eb="2">
      <t>カイゴ</t>
    </rPh>
    <rPh sb="2" eb="4">
      <t>アンブン</t>
    </rPh>
    <rPh sb="4" eb="5">
      <t>リツ</t>
    </rPh>
    <phoneticPr fontId="2"/>
  </si>
  <si>
    <t>支援按分率⇒</t>
    <rPh sb="0" eb="2">
      <t>シエン</t>
    </rPh>
    <rPh sb="2" eb="4">
      <t>アンブン</t>
    </rPh>
    <rPh sb="4" eb="5">
      <t>リツ</t>
    </rPh>
    <phoneticPr fontId="2"/>
  </si>
  <si>
    <t>期別計×介護按分率</t>
    <phoneticPr fontId="2"/>
  </si>
  <si>
    <t>介護調定÷全体調定↓</t>
    <rPh sb="0" eb="2">
      <t>カイゴ</t>
    </rPh>
    <rPh sb="2" eb="3">
      <t>チョウ</t>
    </rPh>
    <rPh sb="3" eb="4">
      <t>サダム</t>
    </rPh>
    <rPh sb="5" eb="6">
      <t>ゼン</t>
    </rPh>
    <rPh sb="6" eb="8">
      <t>タイチョウ</t>
    </rPh>
    <rPh sb="8" eb="9">
      <t>サダム</t>
    </rPh>
    <phoneticPr fontId="2"/>
  </si>
  <si>
    <t>保険料期割(1)＋(2）=(3)</t>
    <rPh sb="0" eb="3">
      <t>ホケンリョウ</t>
    </rPh>
    <rPh sb="3" eb="4">
      <t>キ</t>
    </rPh>
    <rPh sb="4" eb="5">
      <t>ワリ</t>
    </rPh>
    <phoneticPr fontId="2"/>
  </si>
  <si>
    <t>（３）</t>
    <phoneticPr fontId="2"/>
  </si>
  <si>
    <t>支援①</t>
    <rPh sb="0" eb="2">
      <t>シエン</t>
    </rPh>
    <phoneticPr fontId="2"/>
  </si>
  <si>
    <t>支援②</t>
    <rPh sb="0" eb="2">
      <t>シエン</t>
    </rPh>
    <phoneticPr fontId="2"/>
  </si>
  <si>
    <t>支援③</t>
    <rPh sb="0" eb="2">
      <t>シエン</t>
    </rPh>
    <phoneticPr fontId="2"/>
  </si>
  <si>
    <t>支援④</t>
    <rPh sb="0" eb="2">
      <t>シエン</t>
    </rPh>
    <phoneticPr fontId="2"/>
  </si>
  <si>
    <t>支援⑤</t>
    <rPh sb="0" eb="2">
      <t>シエン</t>
    </rPh>
    <phoneticPr fontId="2"/>
  </si>
  <si>
    <t>支援⑥</t>
    <rPh sb="0" eb="2">
      <t>シエン</t>
    </rPh>
    <phoneticPr fontId="2"/>
  </si>
  <si>
    <t>支援⑦</t>
    <rPh sb="0" eb="2">
      <t>シエン</t>
    </rPh>
    <phoneticPr fontId="2"/>
  </si>
  <si>
    <t>支援調定÷（医療調定＋支援調定）↓</t>
    <phoneticPr fontId="80"/>
  </si>
  <si>
    <t>支援①（期別計－介護期別）×支援按分率</t>
    <rPh sb="0" eb="2">
      <t>シエン</t>
    </rPh>
    <phoneticPr fontId="2"/>
  </si>
  <si>
    <t>介護②</t>
    <rPh sb="0" eb="2">
      <t>カイゴ</t>
    </rPh>
    <phoneticPr fontId="2"/>
  </si>
  <si>
    <t>介護③</t>
    <rPh sb="0" eb="2">
      <t>カイゴ</t>
    </rPh>
    <phoneticPr fontId="2"/>
  </si>
  <si>
    <t>介護④</t>
    <rPh sb="0" eb="2">
      <t>カイゴ</t>
    </rPh>
    <phoneticPr fontId="2"/>
  </si>
  <si>
    <t>介護⑤</t>
    <rPh sb="0" eb="2">
      <t>カイゴ</t>
    </rPh>
    <phoneticPr fontId="2"/>
  </si>
  <si>
    <t>介護⑥</t>
    <rPh sb="0" eb="2">
      <t>カイゴ</t>
    </rPh>
    <phoneticPr fontId="2"/>
  </si>
  <si>
    <t>介護⑦</t>
    <rPh sb="0" eb="2">
      <t>カイゴ</t>
    </rPh>
    <phoneticPr fontId="2"/>
  </si>
  <si>
    <t>医療①</t>
    <rPh sb="0" eb="2">
      <t>イリョウ</t>
    </rPh>
    <phoneticPr fontId="2"/>
  </si>
  <si>
    <t>医療②</t>
    <rPh sb="0" eb="2">
      <t>イリョウ</t>
    </rPh>
    <phoneticPr fontId="2"/>
  </si>
  <si>
    <t>医療③</t>
    <rPh sb="0" eb="2">
      <t>イリョウ</t>
    </rPh>
    <phoneticPr fontId="2"/>
  </si>
  <si>
    <t>医療④</t>
    <rPh sb="0" eb="2">
      <t>イリョウ</t>
    </rPh>
    <phoneticPr fontId="2"/>
  </si>
  <si>
    <t>医療⑤</t>
    <rPh sb="0" eb="2">
      <t>イリョウ</t>
    </rPh>
    <phoneticPr fontId="2"/>
  </si>
  <si>
    <t>医療⑥</t>
    <rPh sb="0" eb="2">
      <t>イリョウ</t>
    </rPh>
    <phoneticPr fontId="2"/>
  </si>
  <si>
    <t>医療⑦</t>
    <rPh sb="0" eb="2">
      <t>イリョウ</t>
    </rPh>
    <phoneticPr fontId="2"/>
  </si>
  <si>
    <t>保険料合計①</t>
    <rPh sb="0" eb="3">
      <t>ホケンリョウ</t>
    </rPh>
    <rPh sb="3" eb="5">
      <t>ゴウケイ</t>
    </rPh>
    <phoneticPr fontId="2"/>
  </si>
  <si>
    <t>保険料合計②</t>
    <rPh sb="0" eb="3">
      <t>ホケンリョウ</t>
    </rPh>
    <rPh sb="3" eb="5">
      <t>ゴウケイ</t>
    </rPh>
    <phoneticPr fontId="2"/>
  </si>
  <si>
    <t>保険料合計③</t>
    <rPh sb="0" eb="3">
      <t>ホケンリョウ</t>
    </rPh>
    <rPh sb="3" eb="5">
      <t>ゴウケイ</t>
    </rPh>
    <phoneticPr fontId="2"/>
  </si>
  <si>
    <t>保険料合計④</t>
    <rPh sb="0" eb="3">
      <t>ホケンリョウ</t>
    </rPh>
    <rPh sb="3" eb="5">
      <t>ゴウケイ</t>
    </rPh>
    <phoneticPr fontId="2"/>
  </si>
  <si>
    <t>保険料合計⑤</t>
    <rPh sb="0" eb="3">
      <t>ホケンリョウ</t>
    </rPh>
    <rPh sb="3" eb="5">
      <t>ゴウケイ</t>
    </rPh>
    <phoneticPr fontId="2"/>
  </si>
  <si>
    <t>保険料合計⑥</t>
    <rPh sb="0" eb="3">
      <t>ホケンリョウ</t>
    </rPh>
    <rPh sb="3" eb="5">
      <t>ゴウケイ</t>
    </rPh>
    <phoneticPr fontId="2"/>
  </si>
  <si>
    <t>保険料合計⑦</t>
    <rPh sb="0" eb="3">
      <t>ホケンリョウ</t>
    </rPh>
    <rPh sb="3" eb="5">
      <t>ゴウケイ</t>
    </rPh>
    <phoneticPr fontId="2"/>
  </si>
  <si>
    <t>⇒</t>
    <phoneticPr fontId="2"/>
  </si>
  <si>
    <t>（1）そのままコピー</t>
    <phoneticPr fontId="2"/>
  </si>
  <si>
    <t>(2)医療分合計と個人①との差</t>
    <rPh sb="3" eb="5">
      <t>イリョウ</t>
    </rPh>
    <rPh sb="5" eb="6">
      <t>ブン</t>
    </rPh>
    <rPh sb="6" eb="8">
      <t>ゴウケイ</t>
    </rPh>
    <rPh sb="9" eb="11">
      <t>コジン</t>
    </rPh>
    <rPh sb="14" eb="15">
      <t>サ</t>
    </rPh>
    <phoneticPr fontId="2"/>
  </si>
  <si>
    <t>↓</t>
    <phoneticPr fontId="2"/>
  </si>
  <si>
    <t>複写</t>
    <rPh sb="0" eb="2">
      <t>フクシャ</t>
    </rPh>
    <phoneticPr fontId="2"/>
  </si>
  <si>
    <t>(3）</t>
    <phoneticPr fontId="2"/>
  </si>
  <si>
    <t>　（２）を人数で割る</t>
    <phoneticPr fontId="2"/>
  </si>
  <si>
    <t>(４)支援分合計と個人①との差</t>
    <rPh sb="3" eb="5">
      <t>シエン</t>
    </rPh>
    <rPh sb="5" eb="6">
      <t>ブン</t>
    </rPh>
    <rPh sb="6" eb="8">
      <t>ゴウケイ</t>
    </rPh>
    <rPh sb="9" eb="11">
      <t>コジン</t>
    </rPh>
    <rPh sb="14" eb="15">
      <t>サ</t>
    </rPh>
    <phoneticPr fontId="2"/>
  </si>
  <si>
    <t>(５）</t>
    <phoneticPr fontId="2"/>
  </si>
  <si>
    <t>（６）</t>
    <phoneticPr fontId="2"/>
  </si>
  <si>
    <t>支援分保険料計</t>
    <rPh sb="0" eb="2">
      <t>シエン</t>
    </rPh>
    <rPh sb="2" eb="3">
      <t>ブン</t>
    </rPh>
    <rPh sb="3" eb="6">
      <t>ホケンリョウ</t>
    </rPh>
    <rPh sb="6" eb="7">
      <t>ケイ</t>
    </rPh>
    <phoneticPr fontId="2"/>
  </si>
  <si>
    <t>↑</t>
    <phoneticPr fontId="2"/>
  </si>
  <si>
    <t>医療分保険料計</t>
    <rPh sb="0" eb="2">
      <t>イリョウ</t>
    </rPh>
    <rPh sb="2" eb="3">
      <t>ブン</t>
    </rPh>
    <rPh sb="3" eb="6">
      <t>ホケンリョウ</t>
    </rPh>
    <rPh sb="6" eb="7">
      <t>ケイ</t>
    </rPh>
    <phoneticPr fontId="2"/>
  </si>
  <si>
    <t>医療分 個別計とチェック</t>
    <rPh sb="0" eb="2">
      <t>イリョウ</t>
    </rPh>
    <rPh sb="2" eb="3">
      <t>ブン</t>
    </rPh>
    <rPh sb="4" eb="6">
      <t>コベツ</t>
    </rPh>
    <rPh sb="6" eb="7">
      <t>ケイ</t>
    </rPh>
    <phoneticPr fontId="2"/>
  </si>
  <si>
    <t>支援分 個別計とチェック</t>
    <rPh sb="0" eb="2">
      <t>シエン</t>
    </rPh>
    <rPh sb="2" eb="3">
      <t>ブン</t>
    </rPh>
    <rPh sb="4" eb="6">
      <t>コベツ</t>
    </rPh>
    <rPh sb="6" eb="7">
      <t>ケイ</t>
    </rPh>
    <phoneticPr fontId="2"/>
  </si>
  <si>
    <t>介護分 個別計とチェック</t>
    <rPh sb="0" eb="2">
      <t>カイゴ</t>
    </rPh>
    <rPh sb="2" eb="3">
      <t>ブン</t>
    </rPh>
    <rPh sb="4" eb="6">
      <t>コベツ</t>
    </rPh>
    <rPh sb="6" eb="7">
      <t>ケイ</t>
    </rPh>
    <phoneticPr fontId="2"/>
  </si>
  <si>
    <t>≒</t>
    <phoneticPr fontId="2"/>
  </si>
  <si>
    <t>　　↓②～⑦の調整後</t>
    <rPh sb="7" eb="9">
      <t>チョウセイ</t>
    </rPh>
    <rPh sb="9" eb="10">
      <t>ゴ</t>
    </rPh>
    <phoneticPr fontId="2"/>
  </si>
  <si>
    <t>　↑②～⑦の調整後</t>
    <phoneticPr fontId="2"/>
  </si>
  <si>
    <t>給与収入</t>
    <rPh sb="0" eb="2">
      <t>キュウヨ</t>
    </rPh>
    <rPh sb="2" eb="4">
      <t>シュウニュウ</t>
    </rPh>
    <phoneticPr fontId="2"/>
  </si>
  <si>
    <t>給与所得</t>
    <rPh sb="0" eb="2">
      <t>キュウヨ</t>
    </rPh>
    <rPh sb="2" eb="4">
      <t>ショトク</t>
    </rPh>
    <phoneticPr fontId="2"/>
  </si>
  <si>
    <t>年金収入</t>
    <rPh sb="0" eb="2">
      <t>ネンキン</t>
    </rPh>
    <rPh sb="2" eb="4">
      <t>シュウニュウ</t>
    </rPh>
    <phoneticPr fontId="2"/>
  </si>
  <si>
    <t>年金所得</t>
    <rPh sb="0" eb="2">
      <t>ネンキン</t>
    </rPh>
    <rPh sb="2" eb="4">
      <t>ショトク</t>
    </rPh>
    <phoneticPr fontId="2"/>
  </si>
  <si>
    <t>その他所得</t>
    <rPh sb="2" eb="3">
      <t>タ</t>
    </rPh>
    <rPh sb="3" eb="5">
      <t>ショトク</t>
    </rPh>
    <phoneticPr fontId="2"/>
  </si>
  <si>
    <t>合計所得</t>
    <rPh sb="0" eb="2">
      <t>ゴウケイ</t>
    </rPh>
    <rPh sb="2" eb="4">
      <t>ショトク</t>
    </rPh>
    <phoneticPr fontId="2"/>
  </si>
  <si>
    <t>①</t>
    <phoneticPr fontId="2"/>
  </si>
  <si>
    <t>④</t>
    <phoneticPr fontId="2"/>
  </si>
  <si>
    <t>１ヵ月あたり</t>
    <rPh sb="2" eb="3">
      <t>ゲツ</t>
    </rPh>
    <phoneticPr fontId="2"/>
  </si>
  <si>
    <t>（</t>
    <phoneticPr fontId="2"/>
  </si>
  <si>
    <t>月</t>
    <rPh sb="0" eb="1">
      <t>ツキ</t>
    </rPh>
    <phoneticPr fontId="2"/>
  </si>
  <si>
    <t>ｹ</t>
    <phoneticPr fontId="2"/>
  </si>
  <si>
    <t>分）</t>
    <rPh sb="0" eb="1">
      <t>ブン</t>
    </rPh>
    <phoneticPr fontId="2"/>
  </si>
  <si>
    <t>➡</t>
    <phoneticPr fontId="2"/>
  </si>
  <si>
    <t>医療</t>
    <rPh sb="0" eb="2">
      <t>イリョウ</t>
    </rPh>
    <phoneticPr fontId="2"/>
  </si>
  <si>
    <t>支援</t>
    <rPh sb="0" eb="2">
      <t>シエン</t>
    </rPh>
    <phoneticPr fontId="2"/>
  </si>
  <si>
    <t>介護</t>
    <rPh sb="0" eb="2">
      <t>カイゴ</t>
    </rPh>
    <phoneticPr fontId="2"/>
  </si>
  <si>
    <t>（内訳）</t>
    <rPh sb="1" eb="3">
      <t>ウチワケ</t>
    </rPh>
    <phoneticPr fontId="2"/>
  </si>
  <si>
    <t>すでに国保に加入している家族</t>
    <rPh sb="3" eb="5">
      <t>コクホ</t>
    </rPh>
    <rPh sb="6" eb="8">
      <t>カニュウ</t>
    </rPh>
    <rPh sb="12" eb="14">
      <t>カゾク</t>
    </rPh>
    <phoneticPr fontId="2"/>
  </si>
  <si>
    <t>その家族の国保料</t>
    <rPh sb="2" eb="4">
      <t>カゾク</t>
    </rPh>
    <rPh sb="5" eb="8">
      <t>コクホリョウ</t>
    </rPh>
    <phoneticPr fontId="2"/>
  </si>
  <si>
    <t>増加分</t>
    <rPh sb="0" eb="3">
      <t>ゾウカブン</t>
    </rPh>
    <phoneticPr fontId="2"/>
  </si>
  <si>
    <t>ヵ月分</t>
    <rPh sb="1" eb="2">
      <t>ゲツ</t>
    </rPh>
    <rPh sb="2" eb="3">
      <t>ブン</t>
    </rPh>
    <phoneticPr fontId="2"/>
  </si>
  <si>
    <t>６月末日</t>
    <rPh sb="1" eb="2">
      <t>ガツ</t>
    </rPh>
    <rPh sb="2" eb="4">
      <t>マツジツ</t>
    </rPh>
    <phoneticPr fontId="2"/>
  </si>
  <si>
    <t>７月末日</t>
    <rPh sb="1" eb="2">
      <t>ガツ</t>
    </rPh>
    <rPh sb="2" eb="4">
      <t>マツジツ</t>
    </rPh>
    <phoneticPr fontId="2"/>
  </si>
  <si>
    <t>８月末日</t>
    <rPh sb="1" eb="2">
      <t>ガツ</t>
    </rPh>
    <rPh sb="2" eb="4">
      <t>マツジツ</t>
    </rPh>
    <phoneticPr fontId="2"/>
  </si>
  <si>
    <t>９月末日</t>
    <rPh sb="1" eb="2">
      <t>ガツ</t>
    </rPh>
    <rPh sb="2" eb="4">
      <t>マツジツ</t>
    </rPh>
    <phoneticPr fontId="2"/>
  </si>
  <si>
    <t>１０月末日</t>
    <rPh sb="2" eb="3">
      <t>ガツ</t>
    </rPh>
    <rPh sb="3" eb="5">
      <t>マツジツ</t>
    </rPh>
    <phoneticPr fontId="2"/>
  </si>
  <si>
    <t>１１月末日</t>
    <rPh sb="2" eb="3">
      <t>ガツ</t>
    </rPh>
    <rPh sb="3" eb="5">
      <t>マツジツ</t>
    </rPh>
    <phoneticPr fontId="2"/>
  </si>
  <si>
    <t>１２月末日</t>
    <rPh sb="2" eb="3">
      <t>ガツ</t>
    </rPh>
    <rPh sb="3" eb="5">
      <t>マツジツ</t>
    </rPh>
    <phoneticPr fontId="2"/>
  </si>
  <si>
    <t>１月末日</t>
    <rPh sb="1" eb="2">
      <t>ガツ</t>
    </rPh>
    <rPh sb="2" eb="4">
      <t>マツジツ</t>
    </rPh>
    <phoneticPr fontId="2"/>
  </si>
  <si>
    <t>２月末日</t>
    <rPh sb="1" eb="2">
      <t>ガツ</t>
    </rPh>
    <rPh sb="2" eb="4">
      <t>マツジツ</t>
    </rPh>
    <phoneticPr fontId="2"/>
  </si>
  <si>
    <t>３月末日</t>
    <rPh sb="1" eb="2">
      <t>ガツ</t>
    </rPh>
    <rPh sb="2" eb="4">
      <t>マツジツ</t>
    </rPh>
    <phoneticPr fontId="2"/>
  </si>
  <si>
    <t>支払期日</t>
    <rPh sb="0" eb="2">
      <t>シハラ</t>
    </rPh>
    <rPh sb="2" eb="4">
      <t>キジツ</t>
    </rPh>
    <phoneticPr fontId="2"/>
  </si>
  <si>
    <t>割</t>
    <rPh sb="0" eb="1">
      <t>ワリ</t>
    </rPh>
    <phoneticPr fontId="2"/>
  </si>
  <si>
    <t>※</t>
    <phoneticPr fontId="2"/>
  </si>
  <si>
    <t>※</t>
    <phoneticPr fontId="2"/>
  </si>
  <si>
    <t>　</t>
    <phoneticPr fontId="2"/>
  </si>
  <si>
    <t>「特定受給者」や「特定理由離職者」と認められた方です。詳しくはお問い合わせください。</t>
    <rPh sb="3" eb="6">
      <t>ジュキュウシャ</t>
    </rPh>
    <rPh sb="9" eb="11">
      <t>トクテイ</t>
    </rPh>
    <rPh sb="11" eb="13">
      <t>リユウ</t>
    </rPh>
    <rPh sb="13" eb="15">
      <t>リショク</t>
    </rPh>
    <rPh sb="15" eb="16">
      <t>シャ</t>
    </rPh>
    <rPh sb="18" eb="19">
      <t>ミト</t>
    </rPh>
    <rPh sb="23" eb="24">
      <t>カタ</t>
    </rPh>
    <rPh sb="27" eb="28">
      <t>クワ</t>
    </rPh>
    <rPh sb="32" eb="33">
      <t>ト</t>
    </rPh>
    <rPh sb="34" eb="35">
      <t>ア</t>
    </rPh>
    <phoneticPr fontId="2"/>
  </si>
  <si>
    <t>割軽減</t>
    <rPh sb="0" eb="1">
      <t>ワリ</t>
    </rPh>
    <rPh sb="1" eb="3">
      <t>ケイゲン</t>
    </rPh>
    <phoneticPr fontId="2"/>
  </si>
  <si>
    <t>約</t>
    <rPh sb="0" eb="1">
      <t>ヤク</t>
    </rPh>
    <phoneticPr fontId="2"/>
  </si>
  <si>
    <t>支払い開始月</t>
    <rPh sb="0" eb="2">
      <t>シハラ</t>
    </rPh>
    <rPh sb="3" eb="5">
      <t>カイシ</t>
    </rPh>
    <rPh sb="5" eb="6">
      <t>ツキ</t>
    </rPh>
    <phoneticPr fontId="2"/>
  </si>
  <si>
    <t>月</t>
    <rPh sb="0" eb="1">
      <t>ガツ</t>
    </rPh>
    <phoneticPr fontId="2"/>
  </si>
  <si>
    <t>初回</t>
    <rPh sb="0" eb="2">
      <t>ショカイ</t>
    </rPh>
    <phoneticPr fontId="2"/>
  </si>
  <si>
    <t>担当</t>
    <rPh sb="0" eb="2">
      <t>タントウ</t>
    </rPh>
    <phoneticPr fontId="2"/>
  </si>
  <si>
    <t>受付日</t>
    <rPh sb="0" eb="2">
      <t>ウケツケ</t>
    </rPh>
    <rPh sb="2" eb="3">
      <t>ヒ</t>
    </rPh>
    <phoneticPr fontId="2"/>
  </si>
  <si>
    <t>国民健康保険の脱退や転居等の異動があった場合はすみやかに届出をお願いします</t>
  </si>
  <si>
    <t>Pay - easy　（ペイジー）口座振替受付サービスをご利用ください</t>
    <rPh sb="17" eb="19">
      <t>コウザ</t>
    </rPh>
    <rPh sb="19" eb="21">
      <t>フリカエ</t>
    </rPh>
    <rPh sb="21" eb="23">
      <t>ウケツケ</t>
    </rPh>
    <rPh sb="29" eb="31">
      <t>リヨウ</t>
    </rPh>
    <phoneticPr fontId="2"/>
  </si>
  <si>
    <t>以下の金融機関のキャッシュカードをお持ちでしたら、市役所窓口で</t>
    <rPh sb="0" eb="2">
      <t>イカ</t>
    </rPh>
    <rPh sb="3" eb="5">
      <t>キンユウ</t>
    </rPh>
    <rPh sb="5" eb="7">
      <t>キカン</t>
    </rPh>
    <rPh sb="18" eb="19">
      <t>モ</t>
    </rPh>
    <rPh sb="25" eb="28">
      <t>シヤクショ</t>
    </rPh>
    <rPh sb="28" eb="30">
      <t>マドグチ</t>
    </rPh>
    <phoneticPr fontId="2"/>
  </si>
  <si>
    <t>簡単に口座振替の申込ができます。</t>
    <rPh sb="0" eb="2">
      <t>カンタン</t>
    </rPh>
    <rPh sb="3" eb="5">
      <t>コウザ</t>
    </rPh>
    <rPh sb="5" eb="7">
      <t>フリカエ</t>
    </rPh>
    <rPh sb="8" eb="10">
      <t>モウシコミ</t>
    </rPh>
    <phoneticPr fontId="2"/>
  </si>
  <si>
    <t>この加入月数が月割額に反映</t>
    <rPh sb="2" eb="4">
      <t>カニュウ</t>
    </rPh>
    <rPh sb="4" eb="5">
      <t>ツキ</t>
    </rPh>
    <rPh sb="5" eb="6">
      <t>スウ</t>
    </rPh>
    <rPh sb="7" eb="9">
      <t>ツキワリ</t>
    </rPh>
    <rPh sb="9" eb="10">
      <t>ガク</t>
    </rPh>
    <rPh sb="11" eb="13">
      <t>ハンエイ</t>
    </rPh>
    <phoneticPr fontId="2"/>
  </si>
  <si>
    <t>　注：①の国保加入月数が月割額に反映される</t>
    <rPh sb="1" eb="2">
      <t>チュウ</t>
    </rPh>
    <rPh sb="5" eb="7">
      <t>コクホ</t>
    </rPh>
    <rPh sb="7" eb="9">
      <t>カニュウ</t>
    </rPh>
    <rPh sb="9" eb="10">
      <t>ツキ</t>
    </rPh>
    <rPh sb="10" eb="11">
      <t>スウ</t>
    </rPh>
    <rPh sb="12" eb="14">
      <t>ツキワリ</t>
    </rPh>
    <rPh sb="14" eb="15">
      <t>ガク</t>
    </rPh>
    <rPh sb="16" eb="18">
      <t>ハンエイ</t>
    </rPh>
    <phoneticPr fontId="2"/>
  </si>
  <si>
    <t>世帯主（支払義務者）</t>
    <rPh sb="0" eb="3">
      <t>セタイヌシ</t>
    </rPh>
    <rPh sb="4" eb="6">
      <t>シハラ</t>
    </rPh>
    <rPh sb="6" eb="8">
      <t>ギム</t>
    </rPh>
    <rPh sb="8" eb="9">
      <t>シャ</t>
    </rPh>
    <phoneticPr fontId="2"/>
  </si>
  <si>
    <t>京都銀行・京都信用金庫・京都中央信用金庫・南都銀行・ゆうちょ銀行・郵便局・</t>
    <rPh sb="0" eb="2">
      <t>キョウト</t>
    </rPh>
    <rPh sb="2" eb="4">
      <t>ギンコウ</t>
    </rPh>
    <rPh sb="5" eb="7">
      <t>キョウト</t>
    </rPh>
    <rPh sb="7" eb="9">
      <t>シンヨウ</t>
    </rPh>
    <rPh sb="9" eb="11">
      <t>キンコ</t>
    </rPh>
    <rPh sb="12" eb="14">
      <t>キョウト</t>
    </rPh>
    <rPh sb="14" eb="16">
      <t>チュウオウ</t>
    </rPh>
    <rPh sb="16" eb="18">
      <t>シンヨウ</t>
    </rPh>
    <rPh sb="18" eb="20">
      <t>キンコ</t>
    </rPh>
    <rPh sb="21" eb="23">
      <t>ナント</t>
    </rPh>
    <rPh sb="23" eb="25">
      <t>ギンコウ</t>
    </rPh>
    <rPh sb="30" eb="32">
      <t>ギンコウ</t>
    </rPh>
    <rPh sb="33" eb="36">
      <t>ユウビンキョク</t>
    </rPh>
    <phoneticPr fontId="2"/>
  </si>
  <si>
    <t>京都やましろ農業協同組合</t>
  </si>
  <si>
    <t>７割軽減　…　所得４３万円＋１０万円×（給与所得者等の数－１）以下の世帯</t>
    <rPh sb="1" eb="2">
      <t>ワリ</t>
    </rPh>
    <rPh sb="2" eb="4">
      <t>ケイゲン</t>
    </rPh>
    <rPh sb="7" eb="9">
      <t>ショトク</t>
    </rPh>
    <rPh sb="11" eb="13">
      <t>マンエン</t>
    </rPh>
    <rPh sb="16" eb="18">
      <t>マンエン</t>
    </rPh>
    <rPh sb="20" eb="25">
      <t>キュウヨショトクシャ</t>
    </rPh>
    <rPh sb="25" eb="26">
      <t>トウ</t>
    </rPh>
    <rPh sb="27" eb="28">
      <t>カズ</t>
    </rPh>
    <rPh sb="31" eb="33">
      <t>イカ</t>
    </rPh>
    <rPh sb="34" eb="36">
      <t>セタイ</t>
    </rPh>
    <phoneticPr fontId="2"/>
  </si>
  <si>
    <t>☆上書き保存はしないでください</t>
    <rPh sb="1" eb="3">
      <t>ウワガ</t>
    </rPh>
    <rPh sb="4" eb="6">
      <t>ホゾン</t>
    </rPh>
    <phoneticPr fontId="2"/>
  </si>
  <si>
    <t>軽減基準額早見表</t>
    <rPh sb="0" eb="2">
      <t>ケイゲン</t>
    </rPh>
    <rPh sb="2" eb="4">
      <t>キジュン</t>
    </rPh>
    <rPh sb="4" eb="5">
      <t>ガク</t>
    </rPh>
    <rPh sb="5" eb="7">
      <t>ハヤミ</t>
    </rPh>
    <rPh sb="7" eb="8">
      <t>ヒョウ</t>
    </rPh>
    <phoneticPr fontId="106"/>
  </si>
  <si>
    <t>計算表（給与所得者等の数と被保険者数を入力してください）</t>
    <rPh sb="0" eb="2">
      <t>ケイサン</t>
    </rPh>
    <rPh sb="2" eb="3">
      <t>ヒョウ</t>
    </rPh>
    <rPh sb="4" eb="9">
      <t>キュウヨショトクシャ</t>
    </rPh>
    <rPh sb="9" eb="10">
      <t>トウ</t>
    </rPh>
    <rPh sb="11" eb="12">
      <t>カズ</t>
    </rPh>
    <rPh sb="13" eb="17">
      <t>ヒホケンシャ</t>
    </rPh>
    <rPh sb="17" eb="18">
      <t>スウ</t>
    </rPh>
    <rPh sb="19" eb="21">
      <t>ニュウリョク</t>
    </rPh>
    <phoneticPr fontId="106"/>
  </si>
  <si>
    <t>７割軽減</t>
    <rPh sb="1" eb="2">
      <t>ワリ</t>
    </rPh>
    <rPh sb="2" eb="4">
      <t>ケイゲン</t>
    </rPh>
    <phoneticPr fontId="106"/>
  </si>
  <si>
    <t>５割軽減</t>
    <rPh sb="1" eb="2">
      <t>ワリ</t>
    </rPh>
    <rPh sb="2" eb="4">
      <t>ケイゲン</t>
    </rPh>
    <phoneticPr fontId="106"/>
  </si>
  <si>
    <t>２割軽減</t>
    <rPh sb="1" eb="2">
      <t>ワリ</t>
    </rPh>
    <rPh sb="2" eb="4">
      <t>ケイゲン</t>
    </rPh>
    <phoneticPr fontId="106"/>
  </si>
  <si>
    <t>被保険者数(※1)</t>
    <rPh sb="0" eb="5">
      <t>ヒホケンシャスウ</t>
    </rPh>
    <phoneticPr fontId="106"/>
  </si>
  <si>
    <t>給与所得者等の数（※2）</t>
    <rPh sb="0" eb="6">
      <t>キュウヨショトクシャトウ</t>
    </rPh>
    <rPh sb="7" eb="8">
      <t>カズ</t>
    </rPh>
    <phoneticPr fontId="106"/>
  </si>
  <si>
    <t>7割軽減基準額</t>
    <rPh sb="1" eb="2">
      <t>ワリ</t>
    </rPh>
    <rPh sb="2" eb="4">
      <t>ケイゲン</t>
    </rPh>
    <rPh sb="4" eb="6">
      <t>キジュン</t>
    </rPh>
    <rPh sb="6" eb="7">
      <t>ガク</t>
    </rPh>
    <phoneticPr fontId="106"/>
  </si>
  <si>
    <t>5割軽減基準額</t>
    <rPh sb="1" eb="2">
      <t>ワリ</t>
    </rPh>
    <rPh sb="2" eb="4">
      <t>ケイゲン</t>
    </rPh>
    <rPh sb="4" eb="7">
      <t>キジュンガク</t>
    </rPh>
    <phoneticPr fontId="106"/>
  </si>
  <si>
    <t>２割軽減基準額</t>
    <rPh sb="1" eb="2">
      <t>ワリ</t>
    </rPh>
    <rPh sb="2" eb="4">
      <t>ケイゲン</t>
    </rPh>
    <rPh sb="4" eb="6">
      <t>キジュン</t>
    </rPh>
    <rPh sb="6" eb="7">
      <t>ガク</t>
    </rPh>
    <phoneticPr fontId="106"/>
  </si>
  <si>
    <t>（※1）被保険者には旧国該当者を含みます。</t>
    <rPh sb="4" eb="8">
      <t>ヒホケンシャ</t>
    </rPh>
    <rPh sb="10" eb="11">
      <t>キュウ</t>
    </rPh>
    <rPh sb="11" eb="12">
      <t>クニ</t>
    </rPh>
    <rPh sb="12" eb="15">
      <t>ガイトウシャ</t>
    </rPh>
    <rPh sb="16" eb="17">
      <t>フク</t>
    </rPh>
    <phoneticPr fontId="106"/>
  </si>
  <si>
    <t>未就学児</t>
    <rPh sb="0" eb="4">
      <t>ミシュウガクジ</t>
    </rPh>
    <phoneticPr fontId="2"/>
  </si>
  <si>
    <t>軽減なし</t>
    <rPh sb="0" eb="2">
      <t>ケイゲン</t>
    </rPh>
    <phoneticPr fontId="2"/>
  </si>
  <si>
    <t>↓未就学児の場合「１」を入力</t>
    <rPh sb="1" eb="5">
      <t>ミシュウガクジ</t>
    </rPh>
    <rPh sb="6" eb="8">
      <t>バアイ</t>
    </rPh>
    <rPh sb="12" eb="14">
      <t>ニュウリョク</t>
    </rPh>
    <phoneticPr fontId="2"/>
  </si>
  <si>
    <t>被保険者</t>
    <rPh sb="0" eb="3">
      <t>ヒホケン</t>
    </rPh>
    <rPh sb="3" eb="4">
      <t>シャ</t>
    </rPh>
    <phoneticPr fontId="2"/>
  </si>
  <si>
    <t>被保険者</t>
    <phoneticPr fontId="2"/>
  </si>
  <si>
    <t>被保険者</t>
    <phoneticPr fontId="2"/>
  </si>
  <si>
    <t>今年度保険料額</t>
    <rPh sb="0" eb="3">
      <t>コンネンド</t>
    </rPh>
    <rPh sb="3" eb="6">
      <t>ホケンリョウ</t>
    </rPh>
    <rPh sb="6" eb="7">
      <t>ガク</t>
    </rPh>
    <phoneticPr fontId="2"/>
  </si>
  <si>
    <t>すでに国民健康保険に加入している家族</t>
    <rPh sb="3" eb="9">
      <t>コクミ</t>
    </rPh>
    <rPh sb="10" eb="12">
      <t>カニュウ</t>
    </rPh>
    <rPh sb="16" eb="18">
      <t>カゾク</t>
    </rPh>
    <phoneticPr fontId="2"/>
  </si>
  <si>
    <t>名</t>
    <rPh sb="0" eb="1">
      <t>メイ</t>
    </rPh>
    <phoneticPr fontId="2"/>
  </si>
  <si>
    <t>円</t>
    <phoneticPr fontId="2"/>
  </si>
  <si>
    <t>今年度は、均等割額・平等割額が</t>
    <rPh sb="8" eb="9">
      <t>ガク</t>
    </rPh>
    <rPh sb="13" eb="14">
      <t>ガク</t>
    </rPh>
    <phoneticPr fontId="2"/>
  </si>
  <si>
    <t>その家族の保険料</t>
    <rPh sb="2" eb="4">
      <t>カゾク</t>
    </rPh>
    <rPh sb="5" eb="8">
      <t>ホケンリョウ</t>
    </rPh>
    <phoneticPr fontId="2"/>
  </si>
  <si>
    <t xml:space="preserve"> </t>
    <phoneticPr fontId="2"/>
  </si>
  <si>
    <t>限度額超過判定</t>
    <rPh sb="0" eb="3">
      <t>ゲンドガク</t>
    </rPh>
    <rPh sb="3" eb="5">
      <t>チョウカ</t>
    </rPh>
    <rPh sb="5" eb="7">
      <t>ハンテイ</t>
    </rPh>
    <phoneticPr fontId="2"/>
  </si>
  <si>
    <r>
      <t>被保険者</t>
    </r>
    <r>
      <rPr>
        <sz val="12"/>
        <color rgb="FFFF0000"/>
        <rFont val="HG丸ｺﾞｼｯｸM-PRO"/>
        <family val="3"/>
        <charset val="128"/>
      </rPr>
      <t>人数</t>
    </r>
    <r>
      <rPr>
        <sz val="12"/>
        <color rgb="FF000000"/>
        <rFont val="HG丸ｺﾞｼｯｸM-PRO"/>
        <family val="3"/>
        <charset val="128"/>
      </rPr>
      <t>（※１）</t>
    </r>
    <rPh sb="0" eb="4">
      <t>ヒホケンシャ</t>
    </rPh>
    <rPh sb="4" eb="6">
      <t>ニンズウ</t>
    </rPh>
    <phoneticPr fontId="106"/>
  </si>
  <si>
    <r>
      <t>給与所得者等の</t>
    </r>
    <r>
      <rPr>
        <sz val="12"/>
        <color rgb="FFFF0000"/>
        <rFont val="HG丸ｺﾞｼｯｸM-PRO"/>
        <family val="3"/>
        <charset val="128"/>
      </rPr>
      <t>数</t>
    </r>
    <r>
      <rPr>
        <sz val="12"/>
        <color rgb="FF000000"/>
        <rFont val="HG丸ｺﾞｼｯｸM-PRO"/>
        <family val="3"/>
        <charset val="128"/>
      </rPr>
      <t>（※２）</t>
    </r>
    <rPh sb="0" eb="4">
      <t>キュウヨショトク</t>
    </rPh>
    <rPh sb="4" eb="5">
      <t>シャ</t>
    </rPh>
    <rPh sb="5" eb="6">
      <t>トウ</t>
    </rPh>
    <rPh sb="7" eb="8">
      <t>カズ</t>
    </rPh>
    <phoneticPr fontId="106"/>
  </si>
  <si>
    <t>軽減基準額早見表</t>
  </si>
  <si>
    <t>上記の表は、★給与所得者等が２名以下にも対応済。</t>
    <rPh sb="0" eb="2">
      <t>ジョウキ</t>
    </rPh>
    <rPh sb="3" eb="4">
      <t>ヒョウ</t>
    </rPh>
    <rPh sb="7" eb="13">
      <t>キュウヨショトクシャトウ</t>
    </rPh>
    <rPh sb="15" eb="16">
      <t>メイ</t>
    </rPh>
    <rPh sb="16" eb="18">
      <t>イカ</t>
    </rPh>
    <rPh sb="20" eb="22">
      <t>タイオウ</t>
    </rPh>
    <rPh sb="22" eb="23">
      <t>スミ</t>
    </rPh>
    <phoneticPr fontId="106"/>
  </si>
  <si>
    <t>（※2）給与所得者等の数は世帯主、被保険者及び特定同一世帯所属者のうち、一定の給与所得者(給与収入55万円超)または公的年金に係る所得(公的年金等の収入金額60万円超(65歳未満)、125万円超(65歳以上)を有する人の合計人数をいいます。</t>
    <rPh sb="4" eb="6">
      <t>キュウヨ</t>
    </rPh>
    <rPh sb="6" eb="8">
      <t>ショトク</t>
    </rPh>
    <rPh sb="8" eb="9">
      <t>シャ</t>
    </rPh>
    <rPh sb="9" eb="10">
      <t>トウ</t>
    </rPh>
    <rPh sb="11" eb="12">
      <t>カズ</t>
    </rPh>
    <rPh sb="13" eb="16">
      <t>セタイヌシ</t>
    </rPh>
    <rPh sb="17" eb="21">
      <t>ヒホケンシャ</t>
    </rPh>
    <rPh sb="21" eb="22">
      <t>オヨ</t>
    </rPh>
    <rPh sb="23" eb="32">
      <t>トクテイドウイツセタイショゾクシャ</t>
    </rPh>
    <rPh sb="36" eb="38">
      <t>イッテイ</t>
    </rPh>
    <rPh sb="39" eb="40">
      <t>キュウ</t>
    </rPh>
    <rPh sb="40" eb="41">
      <t>ヨ</t>
    </rPh>
    <rPh sb="41" eb="43">
      <t>ショトク</t>
    </rPh>
    <rPh sb="43" eb="44">
      <t>シャ</t>
    </rPh>
    <rPh sb="45" eb="47">
      <t>キュウヨ</t>
    </rPh>
    <rPh sb="47" eb="49">
      <t>シュウニュウ</t>
    </rPh>
    <rPh sb="51" eb="52">
      <t>マン</t>
    </rPh>
    <rPh sb="52" eb="53">
      <t>エン</t>
    </rPh>
    <rPh sb="53" eb="54">
      <t>チョウ</t>
    </rPh>
    <rPh sb="58" eb="60">
      <t>コウテキ</t>
    </rPh>
    <rPh sb="60" eb="62">
      <t>ネンキン</t>
    </rPh>
    <rPh sb="63" eb="64">
      <t>カカ</t>
    </rPh>
    <rPh sb="65" eb="67">
      <t>ショトク</t>
    </rPh>
    <rPh sb="68" eb="70">
      <t>コウテキ</t>
    </rPh>
    <rPh sb="70" eb="72">
      <t>ネンキン</t>
    </rPh>
    <rPh sb="72" eb="73">
      <t>ナド</t>
    </rPh>
    <rPh sb="74" eb="76">
      <t>シュウニュウ</t>
    </rPh>
    <rPh sb="76" eb="78">
      <t>キンガク</t>
    </rPh>
    <rPh sb="80" eb="82">
      <t>マンエン</t>
    </rPh>
    <rPh sb="82" eb="83">
      <t>チョウ</t>
    </rPh>
    <rPh sb="86" eb="87">
      <t>サイ</t>
    </rPh>
    <rPh sb="87" eb="89">
      <t>ミマン</t>
    </rPh>
    <rPh sb="94" eb="96">
      <t>マンエン</t>
    </rPh>
    <rPh sb="96" eb="97">
      <t>チョウ</t>
    </rPh>
    <rPh sb="101" eb="103">
      <t>イジョウ</t>
    </rPh>
    <rPh sb="105" eb="106">
      <t>ユウ</t>
    </rPh>
    <rPh sb="108" eb="109">
      <t>ヒト</t>
    </rPh>
    <rPh sb="110" eb="112">
      <t>ゴウケイ</t>
    </rPh>
    <rPh sb="112" eb="114">
      <t>ニンズウ</t>
    </rPh>
    <phoneticPr fontId="106"/>
  </si>
  <si>
    <t xml:space="preserve">○低所得者の軽減 </t>
    <rPh sb="1" eb="5">
      <t>テイショトクシャ</t>
    </rPh>
    <rPh sb="6" eb="8">
      <t>ケイゲン</t>
    </rPh>
    <phoneticPr fontId="2"/>
  </si>
  <si>
    <t>※　</t>
    <phoneticPr fontId="2"/>
  </si>
  <si>
    <r>
      <rPr>
        <b/>
        <sz val="9"/>
        <rFont val="ＭＳ Ｐゴシック"/>
        <family val="3"/>
        <charset val="128"/>
      </rPr>
      <t>非自発的失業者については、給与所得を30/100として計算することができます。</t>
    </r>
    <r>
      <rPr>
        <sz val="9"/>
        <rFont val="ＭＳ Ｐゴシック"/>
        <family val="3"/>
        <charset val="128"/>
      </rPr>
      <t>非自発的失業者とは、雇用保険で</t>
    </r>
    <phoneticPr fontId="2"/>
  </si>
  <si>
    <t>：出産する被保険者にかかる、令和6年1月以降の免除期間の所得割保険料と均等割保険料</t>
    <phoneticPr fontId="2"/>
  </si>
  <si>
    <t>対象者</t>
    <rPh sb="0" eb="2">
      <t>タイショウ</t>
    </rPh>
    <rPh sb="2" eb="3">
      <t>シャ</t>
    </rPh>
    <phoneticPr fontId="2"/>
  </si>
  <si>
    <t>軽減期間</t>
    <rPh sb="0" eb="2">
      <t>ケイゲン</t>
    </rPh>
    <rPh sb="2" eb="4">
      <t>キカン</t>
    </rPh>
    <phoneticPr fontId="2"/>
  </si>
  <si>
    <t>○産前産後期間に係る保険料の軽減</t>
    <rPh sb="1" eb="5">
      <t>サンゼンサンゴ</t>
    </rPh>
    <rPh sb="5" eb="7">
      <t>キカン</t>
    </rPh>
    <rPh sb="8" eb="9">
      <t>カカ</t>
    </rPh>
    <rPh sb="10" eb="13">
      <t>ホケンリョウ</t>
    </rPh>
    <rPh sb="14" eb="16">
      <t>ケイゲン</t>
    </rPh>
    <phoneticPr fontId="2"/>
  </si>
  <si>
    <t>高齢受給者受診時負担割合</t>
    <phoneticPr fontId="2"/>
  </si>
  <si>
    <t>か月</t>
    <phoneticPr fontId="2"/>
  </si>
  <si>
    <t>となります。</t>
    <phoneticPr fontId="2"/>
  </si>
  <si>
    <t>今年度の軽減月数は</t>
    <rPh sb="0" eb="3">
      <t>コンネンド</t>
    </rPh>
    <phoneticPr fontId="2"/>
  </si>
  <si>
    <t>の予定となります。</t>
    <rPh sb="1" eb="3">
      <t>ヨテイ</t>
    </rPh>
    <phoneticPr fontId="2"/>
  </si>
  <si>
    <t>-</t>
    <phoneticPr fontId="2"/>
  </si>
  <si>
    <t>産前産後期間に係る軽減月数において、年度をまたぐ場合や転入転出がある場合は、軽減全月数の記載となりませんのでご了承ください。</t>
    <rPh sb="11" eb="13">
      <t>ツキスウ</t>
    </rPh>
    <rPh sb="38" eb="40">
      <t>ケイゲン</t>
    </rPh>
    <rPh sb="40" eb="41">
      <t>ゼン</t>
    </rPh>
    <rPh sb="41" eb="43">
      <t>ツキスウ</t>
    </rPh>
    <rPh sb="44" eb="46">
      <t>キサイ</t>
    </rPh>
    <rPh sb="55" eb="57">
      <t>リョウショウ</t>
    </rPh>
    <phoneticPr fontId="2"/>
  </si>
  <si>
    <t>また、産前産後期間に係る保険料の軽減がある場合、</t>
    <phoneticPr fontId="2"/>
  </si>
  <si>
    <t>※末日が土日祝の場合は、翌営業日が支払期日となります。</t>
    <rPh sb="1" eb="3">
      <t>マツジツ</t>
    </rPh>
    <rPh sb="4" eb="6">
      <t>ドニチ</t>
    </rPh>
    <rPh sb="6" eb="7">
      <t>シュク</t>
    </rPh>
    <rPh sb="8" eb="10">
      <t>バアイ</t>
    </rPh>
    <rPh sb="12" eb="13">
      <t>ヨク</t>
    </rPh>
    <rPh sb="13" eb="16">
      <t>エイギョウビ</t>
    </rPh>
    <rPh sb="17" eb="19">
      <t>シハラ</t>
    </rPh>
    <rPh sb="19" eb="21">
      <t>キジツ</t>
    </rPh>
    <phoneticPr fontId="2"/>
  </si>
  <si>
    <t>支 払 回 数 期 割 額</t>
    <rPh sb="0" eb="1">
      <t>シ</t>
    </rPh>
    <rPh sb="2" eb="3">
      <t>フツ</t>
    </rPh>
    <rPh sb="4" eb="5">
      <t>カイ</t>
    </rPh>
    <rPh sb="6" eb="7">
      <t>カズ</t>
    </rPh>
    <rPh sb="8" eb="9">
      <t>キ</t>
    </rPh>
    <rPh sb="10" eb="11">
      <t>ワリ</t>
    </rPh>
    <rPh sb="12" eb="13">
      <t>ガク</t>
    </rPh>
    <phoneticPr fontId="2"/>
  </si>
  <si>
    <t>※産前産後期間に係る保険料の軽減がある場合、届出の翌月に属する期から軽減が反映されます。上記表の期割額とは一致しない場合があるので予めご了承ください。</t>
    <rPh sb="22" eb="23">
      <t>トドケ</t>
    </rPh>
    <rPh sb="23" eb="24">
      <t>デ</t>
    </rPh>
    <rPh sb="25" eb="27">
      <t>ヨクゲツ</t>
    </rPh>
    <rPh sb="28" eb="29">
      <t>ゾク</t>
    </rPh>
    <rPh sb="31" eb="32">
      <t>キ</t>
    </rPh>
    <rPh sb="34" eb="36">
      <t>ケイゲン</t>
    </rPh>
    <rPh sb="37" eb="39">
      <t>ハンエイ</t>
    </rPh>
    <rPh sb="44" eb="46">
      <t>ジョウキ</t>
    </rPh>
    <rPh sb="46" eb="47">
      <t>ヒョウ</t>
    </rPh>
    <rPh sb="48" eb="49">
      <t>キ</t>
    </rPh>
    <rPh sb="49" eb="50">
      <t>ワ</t>
    </rPh>
    <rPh sb="50" eb="51">
      <t>ガク</t>
    </rPh>
    <rPh sb="53" eb="55">
      <t>イッチ</t>
    </rPh>
    <rPh sb="58" eb="60">
      <t>バアイ</t>
    </rPh>
    <rPh sb="65" eb="66">
      <t>アラカジ</t>
    </rPh>
    <rPh sb="68" eb="70">
      <t>リョウショウ</t>
    </rPh>
    <phoneticPr fontId="2"/>
  </si>
  <si>
    <t>産前産後期間(介護)</t>
    <rPh sb="7" eb="9">
      <t>カイゴ</t>
    </rPh>
    <phoneticPr fontId="2"/>
  </si>
  <si>
    <t>産前産後除いた賦課期間（自動計算）介護</t>
    <rPh sb="17" eb="19">
      <t>カイゴ</t>
    </rPh>
    <phoneticPr fontId="2"/>
  </si>
  <si>
    <t>産前産後期間(医療等)</t>
    <rPh sb="0" eb="1">
      <t>ウ</t>
    </rPh>
    <rPh sb="1" eb="2">
      <t>マエ</t>
    </rPh>
    <rPh sb="2" eb="3">
      <t>ウ</t>
    </rPh>
    <rPh sb="3" eb="4">
      <t>アト</t>
    </rPh>
    <rPh sb="4" eb="6">
      <t>キカン</t>
    </rPh>
    <rPh sb="7" eb="9">
      <t>イリョウ</t>
    </rPh>
    <rPh sb="9" eb="10">
      <t>ナド</t>
    </rPh>
    <phoneticPr fontId="2"/>
  </si>
  <si>
    <t>産前産後除いた賦課期間（自動計算）医療等</t>
    <rPh sb="0" eb="2">
      <t>サンゼン</t>
    </rPh>
    <rPh sb="2" eb="4">
      <t>サンゴ</t>
    </rPh>
    <rPh sb="4" eb="5">
      <t>ノゾ</t>
    </rPh>
    <rPh sb="7" eb="9">
      <t>フカ</t>
    </rPh>
    <rPh sb="9" eb="11">
      <t>キカン</t>
    </rPh>
    <rPh sb="12" eb="14">
      <t>ジドウ</t>
    </rPh>
    <rPh sb="14" eb="16">
      <t>ケイサン</t>
    </rPh>
    <rPh sb="17" eb="19">
      <t>イリョウ</t>
    </rPh>
    <rPh sb="19" eb="20">
      <t>ナド</t>
    </rPh>
    <phoneticPr fontId="2"/>
  </si>
  <si>
    <t>　注：産前産後軽減対象者は①に入力する｡</t>
    <rPh sb="1" eb="2">
      <t>チュウ</t>
    </rPh>
    <rPh sb="15" eb="17">
      <t>ニュウリョク</t>
    </rPh>
    <phoneticPr fontId="2"/>
  </si>
  <si>
    <t>：単胎妊娠の場合は、出産予定日又は出産日の属する月の前月から4か月間</t>
    <rPh sb="2" eb="3">
      <t>ハラ</t>
    </rPh>
    <rPh sb="3" eb="5">
      <t>ニンシン</t>
    </rPh>
    <rPh sb="6" eb="8">
      <t>バアイ</t>
    </rPh>
    <phoneticPr fontId="2"/>
  </si>
  <si>
    <t xml:space="preserve">  多胎妊娠の場合は、出産予定日又は出産日の属する月の3か月前から6か月間</t>
    <rPh sb="4" eb="6">
      <t>ニンシン</t>
    </rPh>
    <phoneticPr fontId="2"/>
  </si>
  <si>
    <t>詳しくは、裏面をご参照ください。</t>
    <phoneticPr fontId="2"/>
  </si>
  <si>
    <t>世帯構成や所得等に変更があった場合は、金額も変わりますのでご承知おきください。</t>
    <rPh sb="0" eb="2">
      <t>セタイ</t>
    </rPh>
    <rPh sb="2" eb="4">
      <t>コウセイ</t>
    </rPh>
    <rPh sb="5" eb="7">
      <t>ショトク</t>
    </rPh>
    <rPh sb="7" eb="8">
      <t>トウ</t>
    </rPh>
    <rPh sb="9" eb="11">
      <t>ヘンコウ</t>
    </rPh>
    <rPh sb="15" eb="17">
      <t>バアイ</t>
    </rPh>
    <rPh sb="19" eb="21">
      <t>キンガク</t>
    </rPh>
    <rPh sb="22" eb="23">
      <t>カ</t>
    </rPh>
    <rPh sb="30" eb="32">
      <t>ショウチ</t>
    </rPh>
    <phoneticPr fontId="2"/>
  </si>
  <si>
    <t>この計算書は、計算時点で判明している世帯構成や所得等、またはご提示いただいた世帯構成や所得等に基づき計算しています。</t>
    <rPh sb="2" eb="5">
      <t>ケイサンショ</t>
    </rPh>
    <rPh sb="7" eb="9">
      <t>ケイサン</t>
    </rPh>
    <rPh sb="9" eb="11">
      <t>ジテン</t>
    </rPh>
    <rPh sb="12" eb="14">
      <t>ハンメイ</t>
    </rPh>
    <rPh sb="18" eb="20">
      <t>セタイ</t>
    </rPh>
    <rPh sb="20" eb="22">
      <t>コウセイ</t>
    </rPh>
    <rPh sb="23" eb="25">
      <t>ショトク</t>
    </rPh>
    <rPh sb="25" eb="26">
      <t>トウ</t>
    </rPh>
    <rPh sb="31" eb="33">
      <t>テイジ</t>
    </rPh>
    <rPh sb="38" eb="40">
      <t>セタイ</t>
    </rPh>
    <rPh sb="40" eb="42">
      <t>コウセイ</t>
    </rPh>
    <rPh sb="43" eb="45">
      <t>ショトク</t>
    </rPh>
    <rPh sb="45" eb="46">
      <t>トウ</t>
    </rPh>
    <rPh sb="47" eb="48">
      <t>モト</t>
    </rPh>
    <rPh sb="50" eb="52">
      <t>ケイサン</t>
    </rPh>
    <phoneticPr fontId="2"/>
  </si>
  <si>
    <t xml:space="preserve">○未就学児の均等割額
　(医療分及び支援分)の軽減          </t>
    <rPh sb="13" eb="15">
      <t>イリョウ</t>
    </rPh>
    <rPh sb="15" eb="16">
      <t>ブン</t>
    </rPh>
    <rPh sb="16" eb="17">
      <t>オヨ</t>
    </rPh>
    <rPh sb="18" eb="20">
      <t>シエン</t>
    </rPh>
    <rPh sb="20" eb="21">
      <t>ブン</t>
    </rPh>
    <phoneticPr fontId="2"/>
  </si>
  <si>
    <t>７割軽減…所得が43万円＋10万円×（給与所得者等の数－１）以下の世帯</t>
    <rPh sb="1" eb="2">
      <t>ワリ</t>
    </rPh>
    <rPh sb="2" eb="4">
      <t>ケイゲン</t>
    </rPh>
    <phoneticPr fontId="2"/>
  </si>
  <si>
    <t>低所得者
の軽減割合</t>
    <rPh sb="0" eb="4">
      <t>テイショトクシャ</t>
    </rPh>
    <rPh sb="6" eb="8">
      <t>ケイゲン</t>
    </rPh>
    <rPh sb="8" eb="10">
      <t>ワリアイ</t>
    </rPh>
    <phoneticPr fontId="2"/>
  </si>
  <si>
    <t>未就学児の
軽減なし</t>
    <rPh sb="0" eb="4">
      <t>ミシュウガクジ</t>
    </rPh>
    <rPh sb="6" eb="8">
      <t>ケイゲン</t>
    </rPh>
    <phoneticPr fontId="2"/>
  </si>
  <si>
    <t>未就学児の
軽減あり</t>
    <rPh sb="0" eb="4">
      <t>ミシュウガクジ</t>
    </rPh>
    <rPh sb="6" eb="8">
      <t>ケイゲン</t>
    </rPh>
    <phoneticPr fontId="2"/>
  </si>
  <si>
    <t>2割軽減</t>
    <rPh sb="1" eb="2">
      <t>ワ</t>
    </rPh>
    <rPh sb="2" eb="4">
      <t>ケイゲン</t>
    </rPh>
    <phoneticPr fontId="2"/>
  </si>
  <si>
    <t>5割軽減</t>
    <rPh sb="1" eb="2">
      <t>ワ</t>
    </rPh>
    <rPh sb="2" eb="4">
      <t>ケイゲン</t>
    </rPh>
    <phoneticPr fontId="2"/>
  </si>
  <si>
    <t>7割軽減</t>
    <rPh sb="1" eb="2">
      <t>ワ</t>
    </rPh>
    <rPh sb="2" eb="4">
      <t>ケイゲン</t>
    </rPh>
    <phoneticPr fontId="2"/>
  </si>
  <si>
    <t>未就学児1人に係る均等割額
(年額)</t>
    <rPh sb="0" eb="4">
      <t>ミシュウガクジ</t>
    </rPh>
    <rPh sb="5" eb="6">
      <t>ニン</t>
    </rPh>
    <rPh sb="7" eb="8">
      <t>カカ</t>
    </rPh>
    <rPh sb="9" eb="12">
      <t>キントウワ</t>
    </rPh>
    <rPh sb="12" eb="13">
      <t>ガク</t>
    </rPh>
    <rPh sb="15" eb="17">
      <t>ネンガク</t>
    </rPh>
    <phoneticPr fontId="2"/>
  </si>
  <si>
    <t>(令和８年４月～令和９年３月)</t>
    <phoneticPr fontId="2"/>
  </si>
  <si>
    <t>［子ども・子育て分］</t>
    <rPh sb="1" eb="2">
      <t>コ</t>
    </rPh>
    <rPh sb="5" eb="7">
      <t>コソダ</t>
    </rPh>
    <rPh sb="8" eb="9">
      <t>ブン</t>
    </rPh>
    <rPh sb="9" eb="10">
      <t>コブン</t>
    </rPh>
    <phoneticPr fontId="2"/>
  </si>
  <si>
    <t>【子ども・子育て】賦課料率</t>
    <rPh sb="1" eb="2">
      <t>コ</t>
    </rPh>
    <rPh sb="9" eb="11">
      <t>フカ</t>
    </rPh>
    <rPh sb="11" eb="13">
      <t>リョウリツ</t>
    </rPh>
    <phoneticPr fontId="2"/>
  </si>
  <si>
    <t>【子ども・子育て分】賦課料率</t>
    <rPh sb="1" eb="2">
      <t>コ</t>
    </rPh>
    <rPh sb="5" eb="7">
      <t>コソダ</t>
    </rPh>
    <rPh sb="8" eb="9">
      <t>ブン</t>
    </rPh>
    <rPh sb="10" eb="12">
      <t>フカ</t>
    </rPh>
    <rPh sb="12" eb="14">
      <t>リョウリツ</t>
    </rPh>
    <phoneticPr fontId="2"/>
  </si>
  <si>
    <t>限度超過　（子ども・子育て）</t>
    <rPh sb="0" eb="2">
      <t>ゲンド</t>
    </rPh>
    <rPh sb="2" eb="4">
      <t>チョウカ</t>
    </rPh>
    <rPh sb="6" eb="7">
      <t>コ</t>
    </rPh>
    <rPh sb="10" eb="12">
      <t>コソダ</t>
    </rPh>
    <phoneticPr fontId="2"/>
  </si>
  <si>
    <t>医療・支援・子供・介護</t>
    <rPh sb="0" eb="2">
      <t>イリョウ</t>
    </rPh>
    <rPh sb="3" eb="5">
      <t>シエン</t>
    </rPh>
    <rPh sb="6" eb="8">
      <t>コドモ</t>
    </rPh>
    <rPh sb="9" eb="11">
      <t>カイゴ</t>
    </rPh>
    <phoneticPr fontId="2"/>
  </si>
  <si>
    <t>子ども・子育て分</t>
    <rPh sb="0" eb="1">
      <t>コ</t>
    </rPh>
    <rPh sb="7" eb="8">
      <t>ブン</t>
    </rPh>
    <phoneticPr fontId="80"/>
  </si>
  <si>
    <t>18歳以上加入月数</t>
    <rPh sb="2" eb="3">
      <t>サイ</t>
    </rPh>
    <rPh sb="3" eb="5">
      <t>イジョウ</t>
    </rPh>
    <rPh sb="5" eb="7">
      <t>カニュウ</t>
    </rPh>
    <rPh sb="7" eb="9">
      <t>ゲッスウ</t>
    </rPh>
    <phoneticPr fontId="2"/>
  </si>
  <si>
    <r>
      <t>５割軽減…所得が43万円＋</t>
    </r>
    <r>
      <rPr>
        <sz val="11"/>
        <color rgb="FFFF0000"/>
        <rFont val="HG丸ｺﾞｼｯｸM-PRO"/>
        <family val="3"/>
        <charset val="128"/>
      </rPr>
      <t>31万円</t>
    </r>
    <r>
      <rPr>
        <sz val="11"/>
        <color rgb="FF003366"/>
        <rFont val="HG丸ｺﾞｼｯｸM-PRO"/>
        <family val="3"/>
        <charset val="128"/>
      </rPr>
      <t>×被保険者数＋10万円×（給与所得者等の数－１）以下の世帯</t>
    </r>
    <rPh sb="1" eb="2">
      <t>ワリ</t>
    </rPh>
    <rPh sb="2" eb="4">
      <t>ケイゲン</t>
    </rPh>
    <phoneticPr fontId="2"/>
  </si>
  <si>
    <r>
      <t>２割軽減…所得が43万円＋</t>
    </r>
    <r>
      <rPr>
        <sz val="11"/>
        <color rgb="FFFF0000"/>
        <rFont val="HG丸ｺﾞｼｯｸM-PRO"/>
        <family val="3"/>
        <charset val="128"/>
      </rPr>
      <t>57万円</t>
    </r>
    <r>
      <rPr>
        <sz val="11"/>
        <color rgb="FF003366"/>
        <rFont val="HG丸ｺﾞｼｯｸM-PRO"/>
        <family val="3"/>
        <charset val="128"/>
      </rPr>
      <t>×被保険者数＋10万円×（給与所得者等の数－１）以下の世帯</t>
    </r>
    <rPh sb="1" eb="2">
      <t>ワリ</t>
    </rPh>
    <rPh sb="2" eb="4">
      <t>ケイゲン</t>
    </rPh>
    <phoneticPr fontId="2"/>
  </si>
  <si>
    <t>５割軽減　…　所得４３万円＋（３１万円×被保険者数）＋１０万円×（給与所得者等の数－１）以下の世帯</t>
    <rPh sb="1" eb="2">
      <t>ワリ</t>
    </rPh>
    <rPh sb="2" eb="4">
      <t>ケイゲン</t>
    </rPh>
    <rPh sb="7" eb="9">
      <t>ショトク</t>
    </rPh>
    <rPh sb="11" eb="13">
      <t>マンエン</t>
    </rPh>
    <rPh sb="17" eb="19">
      <t>マンエン</t>
    </rPh>
    <rPh sb="20" eb="24">
      <t>ヒホケンシャ</t>
    </rPh>
    <rPh sb="24" eb="25">
      <t>スウ</t>
    </rPh>
    <rPh sb="44" eb="46">
      <t>イカ</t>
    </rPh>
    <rPh sb="47" eb="49">
      <t>セタイ</t>
    </rPh>
    <phoneticPr fontId="2"/>
  </si>
  <si>
    <t>２割軽減　…　所得４３万円＋（５７万円×被保険者数）＋１０万円×（給与所得者等の数－１）以下の世帯</t>
    <rPh sb="1" eb="2">
      <t>ワリ</t>
    </rPh>
    <rPh sb="2" eb="4">
      <t>ケイゲン</t>
    </rPh>
    <rPh sb="7" eb="9">
      <t>ショトク</t>
    </rPh>
    <rPh sb="11" eb="13">
      <t>マンエン</t>
    </rPh>
    <rPh sb="17" eb="19">
      <t>マンエン</t>
    </rPh>
    <rPh sb="20" eb="24">
      <t>ヒホケンシャ</t>
    </rPh>
    <rPh sb="24" eb="25">
      <t>スウ</t>
    </rPh>
    <rPh sb="29" eb="31">
      <t>マンエン</t>
    </rPh>
    <rPh sb="44" eb="46">
      <t>イカ</t>
    </rPh>
    <rPh sb="47" eb="49">
      <t>セタイ</t>
    </rPh>
    <phoneticPr fontId="2"/>
  </si>
  <si>
    <t>子ども</t>
    <rPh sb="0" eb="1">
      <t>コ</t>
    </rPh>
    <phoneticPr fontId="2"/>
  </si>
  <si>
    <t>子ども分</t>
    <rPh sb="0" eb="1">
      <t>コ</t>
    </rPh>
    <rPh sb="3" eb="4">
      <t>ブン</t>
    </rPh>
    <phoneticPr fontId="2"/>
  </si>
  <si>
    <t>子ども調定÷全体調定</t>
    <rPh sb="0" eb="1">
      <t>コ</t>
    </rPh>
    <rPh sb="3" eb="5">
      <t>チョウテイ</t>
    </rPh>
    <rPh sb="6" eb="8">
      <t>ゼンタイ</t>
    </rPh>
    <rPh sb="8" eb="10">
      <t>チョウテイ</t>
    </rPh>
    <phoneticPr fontId="80"/>
  </si>
  <si>
    <t>期別計×子ども按分率</t>
    <rPh sb="0" eb="1">
      <t>キ</t>
    </rPh>
    <rPh sb="1" eb="2">
      <t>ベツ</t>
    </rPh>
    <rPh sb="2" eb="3">
      <t>ケイ</t>
    </rPh>
    <rPh sb="4" eb="5">
      <t>コ</t>
    </rPh>
    <rPh sb="7" eb="9">
      <t>アンブン</t>
    </rPh>
    <rPh sb="9" eb="10">
      <t>リツ</t>
    </rPh>
    <phoneticPr fontId="80"/>
  </si>
  <si>
    <t>子ども按分率</t>
    <rPh sb="0" eb="1">
      <t>コ</t>
    </rPh>
    <rPh sb="3" eb="5">
      <t>アンブン</t>
    </rPh>
    <rPh sb="5" eb="6">
      <t>リツ</t>
    </rPh>
    <phoneticPr fontId="80"/>
  </si>
  <si>
    <t>（期別計－介護期別-子ども期別）×支援按分率</t>
    <rPh sb="1" eb="2">
      <t>キ</t>
    </rPh>
    <rPh sb="2" eb="3">
      <t>ベツ</t>
    </rPh>
    <rPh sb="3" eb="4">
      <t>ケイ</t>
    </rPh>
    <rPh sb="5" eb="7">
      <t>カイゴ</t>
    </rPh>
    <rPh sb="7" eb="8">
      <t>キ</t>
    </rPh>
    <rPh sb="8" eb="9">
      <t>ベツ</t>
    </rPh>
    <rPh sb="10" eb="11">
      <t>コ</t>
    </rPh>
    <rPh sb="13" eb="15">
      <t>キベツ</t>
    </rPh>
    <rPh sb="17" eb="19">
      <t>シエン</t>
    </rPh>
    <rPh sb="19" eb="21">
      <t>アンブン</t>
    </rPh>
    <rPh sb="21" eb="22">
      <t>リツ</t>
    </rPh>
    <phoneticPr fontId="80"/>
  </si>
  <si>
    <t>子ども①</t>
    <rPh sb="0" eb="1">
      <t>コ</t>
    </rPh>
    <phoneticPr fontId="2"/>
  </si>
  <si>
    <t>子ども②</t>
    <rPh sb="0" eb="1">
      <t>コ</t>
    </rPh>
    <phoneticPr fontId="2"/>
  </si>
  <si>
    <t>子ども③</t>
    <rPh sb="0" eb="1">
      <t>コ</t>
    </rPh>
    <phoneticPr fontId="2"/>
  </si>
  <si>
    <t>子ども④</t>
    <rPh sb="0" eb="1">
      <t>コ</t>
    </rPh>
    <phoneticPr fontId="2"/>
  </si>
  <si>
    <t>子ども⑤</t>
    <rPh sb="0" eb="1">
      <t>コ</t>
    </rPh>
    <phoneticPr fontId="2"/>
  </si>
  <si>
    <t>子ども⑥</t>
    <rPh sb="0" eb="1">
      <t>コ</t>
    </rPh>
    <phoneticPr fontId="2"/>
  </si>
  <si>
    <t>子ども⑦</t>
    <rPh sb="0" eb="1">
      <t>コ</t>
    </rPh>
    <phoneticPr fontId="2"/>
  </si>
  <si>
    <t>子ども①　期別計×子ども按分率</t>
    <rPh sb="0" eb="1">
      <t>コ</t>
    </rPh>
    <rPh sb="9" eb="10">
      <t>コ</t>
    </rPh>
    <phoneticPr fontId="2"/>
  </si>
  <si>
    <t>子ども調定÷全体調定↓</t>
    <rPh sb="0" eb="1">
      <t>コ</t>
    </rPh>
    <rPh sb="3" eb="4">
      <t>チョウ</t>
    </rPh>
    <rPh sb="4" eb="5">
      <t>サダム</t>
    </rPh>
    <rPh sb="6" eb="7">
      <t>ゼン</t>
    </rPh>
    <rPh sb="7" eb="9">
      <t>タイチョウ</t>
    </rPh>
    <rPh sb="9" eb="10">
      <t>サダム</t>
    </rPh>
    <phoneticPr fontId="2"/>
  </si>
  <si>
    <t>子ども⑦ 期別計×子ども按分率</t>
    <rPh sb="0" eb="1">
      <t>コ</t>
    </rPh>
    <phoneticPr fontId="2"/>
  </si>
  <si>
    <t>子ども⑥ 期別計×子ども按分率</t>
    <rPh sb="0" eb="1">
      <t>コ</t>
    </rPh>
    <phoneticPr fontId="2"/>
  </si>
  <si>
    <t>子ども⑤ 期別計×子ども按分率</t>
    <rPh sb="0" eb="1">
      <t>コ</t>
    </rPh>
    <phoneticPr fontId="2"/>
  </si>
  <si>
    <t>子ども④ 期別計×子ども按分率</t>
    <rPh sb="0" eb="1">
      <t>コ</t>
    </rPh>
    <phoneticPr fontId="2"/>
  </si>
  <si>
    <t>子ども③ 期別計×子ども按分率</t>
    <rPh sb="0" eb="1">
      <t>コ</t>
    </rPh>
    <phoneticPr fontId="2"/>
  </si>
  <si>
    <t>子ども② 期別計×子ども按分率</t>
    <rPh sb="0" eb="1">
      <t>コ</t>
    </rPh>
    <phoneticPr fontId="2"/>
  </si>
  <si>
    <t>子ども分保険料計</t>
    <rPh sb="0" eb="1">
      <t>コ</t>
    </rPh>
    <rPh sb="3" eb="4">
      <t>ブン</t>
    </rPh>
    <rPh sb="4" eb="7">
      <t>ホケンリョウ</t>
    </rPh>
    <rPh sb="7" eb="8">
      <t>ケイ</t>
    </rPh>
    <phoneticPr fontId="2"/>
  </si>
  <si>
    <t>（１）合計－介護－支援-子ども＝医療分</t>
    <rPh sb="3" eb="5">
      <t>ゴウケイ</t>
    </rPh>
    <rPh sb="12" eb="13">
      <t>コ</t>
    </rPh>
    <rPh sb="16" eb="18">
      <t>イリョウ</t>
    </rPh>
    <rPh sb="18" eb="19">
      <t>ブン</t>
    </rPh>
    <phoneticPr fontId="2"/>
  </si>
  <si>
    <t>※</t>
  </si>
  <si>
    <t>18歳該当は１⇒</t>
    <rPh sb="2" eb="3">
      <t>サイ</t>
    </rPh>
    <rPh sb="3" eb="5">
      <t>ガイトウ</t>
    </rPh>
    <phoneticPr fontId="2"/>
  </si>
  <si>
    <t>18歳該当は１⇒</t>
    <phoneticPr fontId="2"/>
  </si>
  <si>
    <t>子ども分において均等割額に18歳以上均等割額を含んでいます。</t>
    <rPh sb="0" eb="1">
      <t>コ</t>
    </rPh>
    <rPh sb="3" eb="4">
      <t>ブン</t>
    </rPh>
    <rPh sb="8" eb="11">
      <t>キントウワ</t>
    </rPh>
    <rPh sb="11" eb="12">
      <t>ガク</t>
    </rPh>
    <rPh sb="15" eb="16">
      <t>サイ</t>
    </rPh>
    <rPh sb="16" eb="18">
      <t>イジョウ</t>
    </rPh>
    <rPh sb="18" eb="21">
      <t>キントウワ</t>
    </rPh>
    <rPh sb="21" eb="22">
      <t>ガク</t>
    </rPh>
    <rPh sb="23" eb="24">
      <t>フク</t>
    </rPh>
    <phoneticPr fontId="134"/>
  </si>
  <si>
    <t>子ども分期割</t>
    <rPh sb="0" eb="1">
      <t>コ</t>
    </rPh>
    <rPh sb="3" eb="4">
      <t>ブン</t>
    </rPh>
    <rPh sb="4" eb="5">
      <t>キ</t>
    </rPh>
    <rPh sb="5" eb="6">
      <t>ワリ</t>
    </rPh>
    <phoneticPr fontId="2"/>
  </si>
  <si>
    <t>18歳以上均等割額</t>
    <rPh sb="2" eb="5">
      <t>サイイジョウ</t>
    </rPh>
    <rPh sb="5" eb="8">
      <t>キントウワ</t>
    </rPh>
    <rPh sb="8" eb="9">
      <t>ガク</t>
    </rPh>
    <phoneticPr fontId="2"/>
  </si>
  <si>
    <t>18歳以上均等割額</t>
    <rPh sb="2" eb="5">
      <t>サイイジョウ</t>
    </rPh>
    <rPh sb="5" eb="8">
      <t>キントウワリ</t>
    </rPh>
    <rPh sb="8" eb="9">
      <t>ガク</t>
    </rPh>
    <phoneticPr fontId="2"/>
  </si>
  <si>
    <t>]</t>
    <phoneticPr fontId="2"/>
  </si>
  <si>
    <t>36,180円</t>
    <rPh sb="6" eb="7">
      <t>エン</t>
    </rPh>
    <phoneticPr fontId="2"/>
  </si>
  <si>
    <t>28,930円</t>
    <rPh sb="6" eb="7">
      <t>エン</t>
    </rPh>
    <phoneticPr fontId="2"/>
  </si>
  <si>
    <t>18,080円</t>
    <rPh sb="6" eb="7">
      <t>エン</t>
    </rPh>
    <phoneticPr fontId="2"/>
  </si>
  <si>
    <t>10,830円</t>
    <rPh sb="6" eb="7">
      <t>エン</t>
    </rPh>
    <phoneticPr fontId="2"/>
  </si>
  <si>
    <t>14,460円</t>
    <rPh sb="6" eb="7">
      <t>エン</t>
    </rPh>
    <phoneticPr fontId="2"/>
  </si>
  <si>
    <t>9,030円</t>
    <rPh sb="5" eb="6">
      <t>エン</t>
    </rPh>
    <phoneticPr fontId="2"/>
  </si>
  <si>
    <t>5,400円</t>
    <rPh sb="5" eb="6">
      <t>エン</t>
    </rPh>
    <phoneticPr fontId="2"/>
  </si>
  <si>
    <t>○18未満被保険者の均等割額の軽減（子ども分に限る）</t>
    <rPh sb="3" eb="5">
      <t>ミマン</t>
    </rPh>
    <rPh sb="5" eb="9">
      <t>ヒホケンシャ</t>
    </rPh>
    <rPh sb="10" eb="14">
      <t>キントウワリガク</t>
    </rPh>
    <rPh sb="15" eb="17">
      <t>ケイゲン</t>
    </rPh>
    <rPh sb="18" eb="19">
      <t>コ</t>
    </rPh>
    <rPh sb="21" eb="22">
      <t>ブン</t>
    </rPh>
    <rPh sb="23" eb="24">
      <t>カギ</t>
    </rPh>
    <phoneticPr fontId="2"/>
  </si>
  <si>
    <t>18歳未満被保険者の均等割額を全額軽減します。既存の保険料が減額される場合、まず低所得者、未就学児、産前産後</t>
    <rPh sb="2" eb="3">
      <t>サイ</t>
    </rPh>
    <rPh sb="3" eb="5">
      <t>ミマン</t>
    </rPh>
    <rPh sb="5" eb="9">
      <t>ヒホケンシャ</t>
    </rPh>
    <rPh sb="10" eb="14">
      <t>キントウワリガク</t>
    </rPh>
    <rPh sb="15" eb="17">
      <t>ゼンガク</t>
    </rPh>
    <rPh sb="17" eb="19">
      <t>ケイゲン</t>
    </rPh>
    <rPh sb="23" eb="25">
      <t>キゾン</t>
    </rPh>
    <rPh sb="26" eb="29">
      <t>ホケンリョウ</t>
    </rPh>
    <rPh sb="30" eb="32">
      <t>ゲンガク</t>
    </rPh>
    <rPh sb="35" eb="37">
      <t>バアイ</t>
    </rPh>
    <rPh sb="40" eb="44">
      <t>テイショトクシャ</t>
    </rPh>
    <rPh sb="45" eb="49">
      <t>ミシュウガクジ</t>
    </rPh>
    <rPh sb="50" eb="54">
      <t>サンゼンサンゴ</t>
    </rPh>
    <phoneticPr fontId="134"/>
  </si>
  <si>
    <t>の順で減額を行い、これらの減額後の18歳未満被保険者の均等割額について、最後に全額を減額することになります。</t>
    <rPh sb="1" eb="2">
      <t>ジュン</t>
    </rPh>
    <rPh sb="3" eb="5">
      <t>ゲンガク</t>
    </rPh>
    <rPh sb="6" eb="7">
      <t>オコナ</t>
    </rPh>
    <rPh sb="13" eb="15">
      <t>ゲンガク</t>
    </rPh>
    <rPh sb="15" eb="16">
      <t>ゴ</t>
    </rPh>
    <rPh sb="19" eb="20">
      <t>サイ</t>
    </rPh>
    <rPh sb="20" eb="26">
      <t>ミマンヒホケンシャ</t>
    </rPh>
    <rPh sb="27" eb="31">
      <t>キントウワリガク</t>
    </rPh>
    <rPh sb="36" eb="38">
      <t>サイゴ</t>
    </rPh>
    <rPh sb="39" eb="41">
      <t>ゼンガク</t>
    </rPh>
    <rPh sb="42" eb="44">
      <t>ゲンガク</t>
    </rPh>
    <phoneticPr fontId="134"/>
  </si>
  <si>
    <r>
      <t>軽減の対象者は国民健康保険に加入する18歳未満被保険者(</t>
    </r>
    <r>
      <rPr>
        <sz val="8"/>
        <rFont val="ＭＳ 明朝"/>
        <family val="1"/>
        <charset val="128"/>
      </rPr>
      <t>18歳に達する日以後の最初の3月31日以前である被保険者)</t>
    </r>
    <r>
      <rPr>
        <sz val="10"/>
        <rFont val="ＭＳ 明朝"/>
        <family val="1"/>
        <charset val="128"/>
      </rPr>
      <t>となります。</t>
    </r>
    <rPh sb="0" eb="2">
      <t>ケイゲン</t>
    </rPh>
    <rPh sb="3" eb="6">
      <t>タイショウシャ</t>
    </rPh>
    <rPh sb="7" eb="9">
      <t>コクミン</t>
    </rPh>
    <rPh sb="9" eb="11">
      <t>ケンコウ</t>
    </rPh>
    <rPh sb="11" eb="13">
      <t>ホケン</t>
    </rPh>
    <rPh sb="14" eb="16">
      <t>カニュウ</t>
    </rPh>
    <rPh sb="20" eb="21">
      <t>サイ</t>
    </rPh>
    <rPh sb="21" eb="23">
      <t>ミマン</t>
    </rPh>
    <rPh sb="23" eb="27">
      <t>ヒホケンシャ</t>
    </rPh>
    <rPh sb="30" eb="31">
      <t>サイ</t>
    </rPh>
    <rPh sb="32" eb="33">
      <t>タッ</t>
    </rPh>
    <rPh sb="35" eb="36">
      <t>ヒ</t>
    </rPh>
    <rPh sb="36" eb="38">
      <t>イゴ</t>
    </rPh>
    <rPh sb="39" eb="41">
      <t>サイショ</t>
    </rPh>
    <rPh sb="43" eb="44">
      <t>ガツ</t>
    </rPh>
    <rPh sb="46" eb="47">
      <t>ニチ</t>
    </rPh>
    <rPh sb="47" eb="49">
      <t>イゼン</t>
    </rPh>
    <rPh sb="52" eb="56">
      <t>ヒホケンシャ</t>
    </rPh>
    <phoneticPr fontId="134"/>
  </si>
  <si>
    <t>令和８年度 城陽市国民健康保険料算出表</t>
    <phoneticPr fontId="2"/>
  </si>
  <si>
    <t>：出産する予定または出産した国民健康保険の被保険者の方</t>
    <rPh sb="1" eb="3">
      <t>シュッサン</t>
    </rPh>
    <rPh sb="5" eb="7">
      <t>ヨテイ</t>
    </rPh>
    <rPh sb="10" eb="12">
      <t>シュッサン</t>
    </rPh>
    <rPh sb="14" eb="16">
      <t>コクミン</t>
    </rPh>
    <rPh sb="16" eb="18">
      <t>ケンコウ</t>
    </rPh>
    <rPh sb="18" eb="20">
      <t>ホケン</t>
    </rPh>
    <rPh sb="21" eb="25">
      <t>ヒホケンシャ</t>
    </rPh>
    <rPh sb="26" eb="27">
      <t>カタ</t>
    </rPh>
    <phoneticPr fontId="2"/>
  </si>
  <si>
    <t>できます。試算前にサイトに記載の注意点を必ずお読みください。</t>
    <rPh sb="5" eb="7">
      <t>シサン</t>
    </rPh>
    <rPh sb="7" eb="8">
      <t>マエ</t>
    </rPh>
    <rPh sb="13" eb="15">
      <t>キサイ</t>
    </rPh>
    <rPh sb="16" eb="19">
      <t>チュウイテン</t>
    </rPh>
    <rPh sb="20" eb="21">
      <t>カナラ</t>
    </rPh>
    <rPh sb="23" eb="24">
      <t>ヨ</t>
    </rPh>
    <phoneticPr fontId="2"/>
  </si>
  <si>
    <t>【入力方法】</t>
    <rPh sb="1" eb="5">
      <t>ニュウリョクホウホウ</t>
    </rPh>
    <phoneticPr fontId="2"/>
  </si>
  <si>
    <t>太枠内を入力してください。世帯主の②～⑤欄は、国保に加入しない場合も必ず入力してください。</t>
    <rPh sb="0" eb="2">
      <t>フトワク</t>
    </rPh>
    <rPh sb="2" eb="3">
      <t>ナイ</t>
    </rPh>
    <rPh sb="4" eb="6">
      <t>ニュウリョク</t>
    </rPh>
    <rPh sb="13" eb="16">
      <t>セタイヌシ</t>
    </rPh>
    <rPh sb="20" eb="21">
      <t>ラン</t>
    </rPh>
    <rPh sb="23" eb="25">
      <t>コクホ</t>
    </rPh>
    <rPh sb="26" eb="28">
      <t>カニュウ</t>
    </rPh>
    <rPh sb="31" eb="33">
      <t>バアイ</t>
    </rPh>
    <rPh sb="34" eb="35">
      <t>カナラ</t>
    </rPh>
    <rPh sb="36" eb="38">
      <t>ニュウリョク</t>
    </rPh>
    <phoneticPr fontId="2"/>
  </si>
  <si>
    <t>①：世帯主が国保に加入する場合は「はい」に1を、加入しない場合は「いいえ」に1を入力。</t>
    <rPh sb="2" eb="5">
      <t>セタイヌシ</t>
    </rPh>
    <rPh sb="6" eb="8">
      <t>コクホ</t>
    </rPh>
    <rPh sb="9" eb="11">
      <t>カニュウ</t>
    </rPh>
    <rPh sb="13" eb="15">
      <t>バアイ</t>
    </rPh>
    <rPh sb="24" eb="26">
      <t>カニュウ</t>
    </rPh>
    <rPh sb="29" eb="31">
      <t>バアイ</t>
    </rPh>
    <rPh sb="40" eb="42">
      <t>ニュウリョク</t>
    </rPh>
    <phoneticPr fontId="2"/>
  </si>
  <si>
    <t>②：世帯主とそれ以外の国保加入者の満年齢を入力。0歳の場合のみ、「1」を入力。</t>
    <rPh sb="2" eb="5">
      <t>セタイヌシ</t>
    </rPh>
    <rPh sb="8" eb="10">
      <t>イガイ</t>
    </rPh>
    <rPh sb="11" eb="16">
      <t>コクホカニュウシャ</t>
    </rPh>
    <rPh sb="17" eb="18">
      <t>マン</t>
    </rPh>
    <rPh sb="18" eb="20">
      <t>ネンレイ</t>
    </rPh>
    <rPh sb="21" eb="23">
      <t>ニュウリョク</t>
    </rPh>
    <rPh sb="25" eb="26">
      <t>サイ</t>
    </rPh>
    <rPh sb="27" eb="29">
      <t>バアイ</t>
    </rPh>
    <rPh sb="36" eb="38">
      <t>ニュウリョク</t>
    </rPh>
    <phoneticPr fontId="2"/>
  </si>
  <si>
    <r>
      <t>　   年齢欄で加入者人数を判定しているので、</t>
    </r>
    <r>
      <rPr>
        <u/>
        <sz val="11"/>
        <rFont val="HG丸ｺﾞｼｯｸM-PRO"/>
        <family val="3"/>
        <charset val="128"/>
      </rPr>
      <t>世帯主</t>
    </r>
    <r>
      <rPr>
        <sz val="11"/>
        <rFont val="HG丸ｺﾞｼｯｸM-PRO"/>
        <family val="3"/>
        <charset val="128"/>
      </rPr>
      <t>と</t>
    </r>
    <r>
      <rPr>
        <u/>
        <sz val="11"/>
        <rFont val="HG丸ｺﾞｼｯｸM-PRO"/>
        <family val="3"/>
        <charset val="128"/>
      </rPr>
      <t>加入者のみ</t>
    </r>
    <r>
      <rPr>
        <sz val="11"/>
        <rFont val="HG丸ｺﾞｼｯｸM-PRO"/>
        <family val="3"/>
        <charset val="128"/>
      </rPr>
      <t>の年齢を必ず入力してください。</t>
    </r>
    <rPh sb="4" eb="6">
      <t>ネンレイ</t>
    </rPh>
    <rPh sb="6" eb="7">
      <t>ラン</t>
    </rPh>
    <rPh sb="8" eb="11">
      <t>カニュウシャ</t>
    </rPh>
    <rPh sb="11" eb="13">
      <t>ニンズウ</t>
    </rPh>
    <rPh sb="14" eb="16">
      <t>ハンテイ</t>
    </rPh>
    <rPh sb="23" eb="26">
      <t>セタイヌシ</t>
    </rPh>
    <rPh sb="27" eb="30">
      <t>カニュウシャ</t>
    </rPh>
    <rPh sb="33" eb="35">
      <t>ネンレイ</t>
    </rPh>
    <rPh sb="36" eb="37">
      <t>カナラ</t>
    </rPh>
    <rPh sb="38" eb="40">
      <t>ニュウリョク</t>
    </rPh>
    <phoneticPr fontId="2"/>
  </si>
  <si>
    <t>⑤：給与・年金以外のその他の所得がある場合、その他の所得合計額を入力。なければ「0」を入力。</t>
    <rPh sb="2" eb="4">
      <t>キュウヨ</t>
    </rPh>
    <rPh sb="5" eb="7">
      <t>ネンキン</t>
    </rPh>
    <rPh sb="7" eb="9">
      <t>イガイ</t>
    </rPh>
    <rPh sb="12" eb="13">
      <t>ホカ</t>
    </rPh>
    <rPh sb="14" eb="16">
      <t>ショトク</t>
    </rPh>
    <rPh sb="19" eb="21">
      <t>バアイ</t>
    </rPh>
    <rPh sb="24" eb="25">
      <t>ホカ</t>
    </rPh>
    <rPh sb="26" eb="28">
      <t>ショトク</t>
    </rPh>
    <rPh sb="28" eb="31">
      <t>ゴウケイガク</t>
    </rPh>
    <rPh sb="32" eb="34">
      <t>ニュウリョク</t>
    </rPh>
    <rPh sb="43" eb="45">
      <t>ニュウリョク</t>
    </rPh>
    <phoneticPr fontId="2"/>
  </si>
  <si>
    <t>※③、④及び⑤の詳細については、次ページを参照してください。</t>
    <rPh sb="4" eb="5">
      <t>オヨ</t>
    </rPh>
    <rPh sb="8" eb="10">
      <t>ショウサイ</t>
    </rPh>
    <phoneticPr fontId="2"/>
  </si>
  <si>
    <t>①世帯主は国保加入者ですか？該当欄に「１」を入力してください。</t>
    <rPh sb="1" eb="4">
      <t>セタイヌシ</t>
    </rPh>
    <rPh sb="5" eb="7">
      <t>コクホ</t>
    </rPh>
    <rPh sb="7" eb="9">
      <t>カニュウ</t>
    </rPh>
    <rPh sb="9" eb="10">
      <t>シャ</t>
    </rPh>
    <rPh sb="14" eb="17">
      <t>ガイトウラン</t>
    </rPh>
    <rPh sb="22" eb="24">
      <t>ニュウリョク</t>
    </rPh>
    <phoneticPr fontId="2"/>
  </si>
  <si>
    <t>はい→</t>
    <phoneticPr fontId="2"/>
  </si>
  <si>
    <t>いいえ→</t>
    <phoneticPr fontId="2"/>
  </si>
  <si>
    <t>給与</t>
    <rPh sb="0" eb="2">
      <t>キュウヨ</t>
    </rPh>
    <phoneticPr fontId="2"/>
  </si>
  <si>
    <t>給与所得早見表</t>
    <rPh sb="0" eb="4">
      <t>キュウヨショトク</t>
    </rPh>
    <rPh sb="4" eb="6">
      <t>ハヤミ</t>
    </rPh>
    <rPh sb="6" eb="7">
      <t>ヒョウ</t>
    </rPh>
    <phoneticPr fontId="2"/>
  </si>
  <si>
    <t>単位：円</t>
    <rPh sb="0" eb="2">
      <t>タンイ</t>
    </rPh>
    <rPh sb="3" eb="4">
      <t>エン</t>
    </rPh>
    <phoneticPr fontId="2"/>
  </si>
  <si>
    <t>給与所得計算（世帯主）</t>
    <rPh sb="0" eb="2">
      <t>キュウヨ</t>
    </rPh>
    <rPh sb="2" eb="4">
      <t>ショトク</t>
    </rPh>
    <rPh sb="4" eb="6">
      <t>ケイサン</t>
    </rPh>
    <rPh sb="7" eb="10">
      <t>セタイヌシ</t>
    </rPh>
    <phoneticPr fontId="2"/>
  </si>
  <si>
    <t>給与所得計算（2人目）</t>
    <rPh sb="0" eb="2">
      <t>キュウヨ</t>
    </rPh>
    <rPh sb="2" eb="4">
      <t>ショトク</t>
    </rPh>
    <rPh sb="4" eb="6">
      <t>ケイサン</t>
    </rPh>
    <rPh sb="7" eb="10">
      <t>フタリメ</t>
    </rPh>
    <phoneticPr fontId="2"/>
  </si>
  <si>
    <t>給与所得計算（3人目）</t>
    <rPh sb="0" eb="2">
      <t>キュウヨ</t>
    </rPh>
    <rPh sb="2" eb="4">
      <t>ショトク</t>
    </rPh>
    <rPh sb="4" eb="6">
      <t>ケイサン</t>
    </rPh>
    <rPh sb="7" eb="10">
      <t>サンニンメ</t>
    </rPh>
    <phoneticPr fontId="2"/>
  </si>
  <si>
    <t>給与所得計算（4人目）</t>
    <rPh sb="0" eb="2">
      <t>キュウヨ</t>
    </rPh>
    <rPh sb="2" eb="4">
      <t>ショトク</t>
    </rPh>
    <rPh sb="4" eb="6">
      <t>ケイサン</t>
    </rPh>
    <rPh sb="7" eb="10">
      <t>フタリメ</t>
    </rPh>
    <phoneticPr fontId="2"/>
  </si>
  <si>
    <t>給与所得計算（5人目）</t>
    <rPh sb="0" eb="2">
      <t>キュウヨ</t>
    </rPh>
    <rPh sb="2" eb="4">
      <t>ショトク</t>
    </rPh>
    <rPh sb="4" eb="6">
      <t>ケイサン</t>
    </rPh>
    <rPh sb="7" eb="10">
      <t>サンニンメ</t>
    </rPh>
    <phoneticPr fontId="2"/>
  </si>
  <si>
    <t>給与所得計算（6人目）</t>
    <rPh sb="0" eb="2">
      <t>キュウヨ</t>
    </rPh>
    <rPh sb="2" eb="4">
      <t>ショトク</t>
    </rPh>
    <rPh sb="4" eb="6">
      <t>ケイサン</t>
    </rPh>
    <rPh sb="7" eb="10">
      <t>フタリメ</t>
    </rPh>
    <phoneticPr fontId="2"/>
  </si>
  <si>
    <t>給与所得計算（7人目）</t>
    <rPh sb="0" eb="2">
      <t>キュウヨ</t>
    </rPh>
    <rPh sb="2" eb="4">
      <t>ショトク</t>
    </rPh>
    <rPh sb="4" eb="6">
      <t>ケイサン</t>
    </rPh>
    <rPh sb="8" eb="10">
      <t>ニンメ</t>
    </rPh>
    <phoneticPr fontId="2"/>
  </si>
  <si>
    <t>収入</t>
    <rPh sb="0" eb="2">
      <t>シュウニュウ</t>
    </rPh>
    <phoneticPr fontId="2"/>
  </si>
  <si>
    <t>割合</t>
    <rPh sb="0" eb="2">
      <t>ワリアイ</t>
    </rPh>
    <phoneticPr fontId="2"/>
  </si>
  <si>
    <t>控除額</t>
    <rPh sb="0" eb="3">
      <t>コウジョガク</t>
    </rPh>
    <phoneticPr fontId="2"/>
  </si>
  <si>
    <t>満年齢</t>
    <rPh sb="0" eb="1">
      <t>マン</t>
    </rPh>
    <rPh sb="1" eb="3">
      <t>ネンレイ</t>
    </rPh>
    <phoneticPr fontId="2"/>
  </si>
  <si>
    <t>所得ゼロ</t>
    <rPh sb="0" eb="2">
      <t>ショトク</t>
    </rPh>
    <phoneticPr fontId="2"/>
  </si>
  <si>
    <t>世帯主</t>
    <rPh sb="0" eb="3">
      <t>セタイヌシ</t>
    </rPh>
    <phoneticPr fontId="2"/>
  </si>
  <si>
    <t>2人目</t>
    <rPh sb="0" eb="3">
      <t>フタリメ</t>
    </rPh>
    <phoneticPr fontId="2"/>
  </si>
  <si>
    <t>固定所得</t>
    <rPh sb="0" eb="4">
      <t>コテイショトク</t>
    </rPh>
    <phoneticPr fontId="2"/>
  </si>
  <si>
    <t>3人目</t>
    <rPh sb="0" eb="3">
      <t>サンニンメ</t>
    </rPh>
    <phoneticPr fontId="2"/>
  </si>
  <si>
    <t>4人目</t>
    <rPh sb="0" eb="2">
      <t>ヒトリ</t>
    </rPh>
    <rPh sb="2" eb="3">
      <t>メ</t>
    </rPh>
    <phoneticPr fontId="2"/>
  </si>
  <si>
    <t>5人目</t>
    <rPh sb="0" eb="3">
      <t>フタリメ</t>
    </rPh>
    <phoneticPr fontId="2"/>
  </si>
  <si>
    <t>6人目</t>
    <rPh sb="0" eb="3">
      <t>サンニンメ</t>
    </rPh>
    <phoneticPr fontId="2"/>
  </si>
  <si>
    <t>7人目</t>
    <rPh sb="0" eb="2">
      <t>ヒトリ</t>
    </rPh>
    <rPh sb="2" eb="3">
      <t>メ</t>
    </rPh>
    <phoneticPr fontId="2"/>
  </si>
  <si>
    <t>入力例</t>
    <rPh sb="0" eb="2">
      <t>ニュウリョク</t>
    </rPh>
    <rPh sb="2" eb="3">
      <t>レイ</t>
    </rPh>
    <phoneticPr fontId="2"/>
  </si>
  <si>
    <t>端数整理なし</t>
    <rPh sb="0" eb="4">
      <t>ハスウセイリ</t>
    </rPh>
    <phoneticPr fontId="2"/>
  </si>
  <si>
    <t>1,950,000(上限）</t>
    <rPh sb="10" eb="12">
      <t>ジョウゲン</t>
    </rPh>
    <phoneticPr fontId="2"/>
  </si>
  <si>
    <t>【計算結果】</t>
    <rPh sb="1" eb="5">
      <t>ケイサンケッカ</t>
    </rPh>
    <phoneticPr fontId="2"/>
  </si>
  <si>
    <t>給与所得</t>
    <rPh sb="0" eb="4">
      <t>キュウヨショトク</t>
    </rPh>
    <phoneticPr fontId="2"/>
  </si>
  <si>
    <t>国保料年額</t>
    <rPh sb="0" eb="3">
      <t>コクホリョウ</t>
    </rPh>
    <rPh sb="3" eb="5">
      <t>ネンガク</t>
    </rPh>
    <phoneticPr fontId="2"/>
  </si>
  <si>
    <t>１ケ月あたり</t>
    <rPh sb="2" eb="3">
      <t>ツキ</t>
    </rPh>
    <phoneticPr fontId="2"/>
  </si>
  <si>
    <t>法定軽減</t>
    <rPh sb="0" eb="4">
      <t>ホウテイケイゲン</t>
    </rPh>
    <phoneticPr fontId="2"/>
  </si>
  <si>
    <t>税情報給与所得</t>
    <rPh sb="0" eb="1">
      <t>ゼイ</t>
    </rPh>
    <rPh sb="1" eb="3">
      <t>ジョウホウ</t>
    </rPh>
    <rPh sb="3" eb="5">
      <t>キュウヨ</t>
    </rPh>
    <rPh sb="5" eb="7">
      <t>ショトク</t>
    </rPh>
    <phoneticPr fontId="2"/>
  </si>
  <si>
    <t>医療分</t>
    <rPh sb="0" eb="3">
      <t>イリョウブン</t>
    </rPh>
    <phoneticPr fontId="2"/>
  </si>
  <si>
    <t>年金</t>
    <rPh sb="0" eb="2">
      <t>ネンキン</t>
    </rPh>
    <phoneticPr fontId="2"/>
  </si>
  <si>
    <t>年金所得早見表・公的年金等に係る雑所得以外の所得に係る合計所得金額が１０００万以下の場合</t>
    <rPh sb="0" eb="4">
      <t>ネンキンショトク</t>
    </rPh>
    <rPh sb="4" eb="7">
      <t>ハヤミヒョウ</t>
    </rPh>
    <rPh sb="8" eb="10">
      <t>コウテキ</t>
    </rPh>
    <rPh sb="10" eb="13">
      <t>ネンキントウ</t>
    </rPh>
    <rPh sb="14" eb="15">
      <t>カカ</t>
    </rPh>
    <rPh sb="16" eb="19">
      <t>ザツショトク</t>
    </rPh>
    <rPh sb="19" eb="21">
      <t>イガイ</t>
    </rPh>
    <rPh sb="22" eb="24">
      <t>ショトク</t>
    </rPh>
    <rPh sb="25" eb="26">
      <t>カカ</t>
    </rPh>
    <rPh sb="27" eb="31">
      <t>ゴウケイショトク</t>
    </rPh>
    <rPh sb="31" eb="33">
      <t>キンガク</t>
    </rPh>
    <rPh sb="38" eb="39">
      <t>マン</t>
    </rPh>
    <rPh sb="39" eb="41">
      <t>イカ</t>
    </rPh>
    <rPh sb="42" eb="44">
      <t>バアイ</t>
    </rPh>
    <phoneticPr fontId="2"/>
  </si>
  <si>
    <t>割軽減適用</t>
    <rPh sb="0" eb="3">
      <t>ワリケイゲン</t>
    </rPh>
    <rPh sb="3" eb="5">
      <t>テキヨウ</t>
    </rPh>
    <phoneticPr fontId="2"/>
  </si>
  <si>
    <t>年金所得計算（世帯主）</t>
    <rPh sb="0" eb="2">
      <t>ネンキン</t>
    </rPh>
    <rPh sb="2" eb="4">
      <t>ショトク</t>
    </rPh>
    <rPh sb="4" eb="6">
      <t>ケイサン</t>
    </rPh>
    <rPh sb="7" eb="10">
      <t>セタイヌシ</t>
    </rPh>
    <phoneticPr fontId="2"/>
  </si>
  <si>
    <t>年金所得計算（2人目）</t>
    <rPh sb="0" eb="4">
      <t>ネンキンショトク</t>
    </rPh>
    <rPh sb="4" eb="6">
      <t>ケイサン</t>
    </rPh>
    <rPh sb="7" eb="10">
      <t>フタリメ</t>
    </rPh>
    <phoneticPr fontId="2"/>
  </si>
  <si>
    <t>年金所得計算（3人目）</t>
    <rPh sb="0" eb="4">
      <t>ネンキンショトク</t>
    </rPh>
    <rPh sb="4" eb="6">
      <t>ケイサン</t>
    </rPh>
    <rPh sb="8" eb="10">
      <t>ニンメ</t>
    </rPh>
    <phoneticPr fontId="2"/>
  </si>
  <si>
    <t>年金所得計算（4人目）</t>
    <rPh sb="0" eb="4">
      <t>ネンキンショトク</t>
    </rPh>
    <rPh sb="4" eb="6">
      <t>ケイサン</t>
    </rPh>
    <rPh sb="7" eb="10">
      <t>フタリメ</t>
    </rPh>
    <phoneticPr fontId="2"/>
  </si>
  <si>
    <t>年金所得計算（5人目）</t>
    <rPh sb="0" eb="4">
      <t>ネンキンショトク</t>
    </rPh>
    <rPh sb="4" eb="6">
      <t>ケイサン</t>
    </rPh>
    <rPh sb="8" eb="10">
      <t>ニンメ</t>
    </rPh>
    <phoneticPr fontId="2"/>
  </si>
  <si>
    <t>年金所得計算（6人目）</t>
    <rPh sb="0" eb="4">
      <t>ネンキンショトク</t>
    </rPh>
    <rPh sb="4" eb="6">
      <t>ケイサン</t>
    </rPh>
    <rPh sb="7" eb="10">
      <t>フタリメ</t>
    </rPh>
    <phoneticPr fontId="2"/>
  </si>
  <si>
    <t>年金所得計算（7人目）</t>
    <rPh sb="0" eb="4">
      <t>ネンキンショトク</t>
    </rPh>
    <rPh sb="4" eb="6">
      <t>ケイサン</t>
    </rPh>
    <rPh sb="8" eb="10">
      <t>ニンメ</t>
    </rPh>
    <phoneticPr fontId="2"/>
  </si>
  <si>
    <t>公的年金等の収入金額</t>
    <rPh sb="0" eb="5">
      <t>コウテキネンキントウ</t>
    </rPh>
    <rPh sb="6" eb="10">
      <t>シュウニュウキンガク</t>
    </rPh>
    <phoneticPr fontId="2"/>
  </si>
  <si>
    <t>支援分</t>
    <rPh sb="0" eb="3">
      <t>シエンブン</t>
    </rPh>
    <phoneticPr fontId="2"/>
  </si>
  <si>
    <t>６５歳未満</t>
    <rPh sb="2" eb="3">
      <t>サイ</t>
    </rPh>
    <rPh sb="3" eb="5">
      <t>ミマン</t>
    </rPh>
    <phoneticPr fontId="2"/>
  </si>
  <si>
    <t>１３０万未満</t>
    <rPh sb="3" eb="4">
      <t>マン</t>
    </rPh>
    <rPh sb="4" eb="6">
      <t>ミマン</t>
    </rPh>
    <phoneticPr fontId="2"/>
  </si>
  <si>
    <t>介護分</t>
    <rPh sb="0" eb="3">
      <t>カイゴブン</t>
    </rPh>
    <phoneticPr fontId="2"/>
  </si>
  <si>
    <t>※０割の場合、軽減なし</t>
    <rPh sb="2" eb="3">
      <t>ワリ</t>
    </rPh>
    <rPh sb="4" eb="6">
      <t>バアイ</t>
    </rPh>
    <rPh sb="7" eb="9">
      <t>ケイゲン</t>
    </rPh>
    <phoneticPr fontId="2"/>
  </si>
  <si>
    <t>１３０万以上４１０万未満</t>
    <rPh sb="3" eb="4">
      <t>マン</t>
    </rPh>
    <rPh sb="4" eb="6">
      <t>イジョウ</t>
    </rPh>
    <rPh sb="9" eb="10">
      <t>マン</t>
    </rPh>
    <rPh sb="10" eb="12">
      <t>ミマン</t>
    </rPh>
    <phoneticPr fontId="2"/>
  </si>
  <si>
    <t>４１０万以上７７０万未満</t>
    <rPh sb="3" eb="4">
      <t>マン</t>
    </rPh>
    <rPh sb="4" eb="6">
      <t>イジョウ</t>
    </rPh>
    <rPh sb="9" eb="10">
      <t>マン</t>
    </rPh>
    <rPh sb="10" eb="12">
      <t>ミマン</t>
    </rPh>
    <phoneticPr fontId="2"/>
  </si>
  <si>
    <t>７７０万以上１０００万未満</t>
    <rPh sb="3" eb="6">
      <t>マンイジョウ</t>
    </rPh>
    <rPh sb="10" eb="11">
      <t>マン</t>
    </rPh>
    <rPh sb="11" eb="13">
      <t>ミマン</t>
    </rPh>
    <phoneticPr fontId="2"/>
  </si>
  <si>
    <t>１０００万以上</t>
    <rPh sb="4" eb="5">
      <t>マン</t>
    </rPh>
    <rPh sb="5" eb="7">
      <t>イジョウ</t>
    </rPh>
    <phoneticPr fontId="2"/>
  </si>
  <si>
    <t>６５歳以上</t>
    <rPh sb="2" eb="3">
      <t>サイ</t>
    </rPh>
    <rPh sb="3" eb="5">
      <t>イジョウ</t>
    </rPh>
    <phoneticPr fontId="2"/>
  </si>
  <si>
    <t>３３０万未満</t>
    <rPh sb="3" eb="4">
      <t>マン</t>
    </rPh>
    <rPh sb="4" eb="6">
      <t>ミマン</t>
    </rPh>
    <phoneticPr fontId="2"/>
  </si>
  <si>
    <t>３３０万以上４１０万未満</t>
    <rPh sb="3" eb="6">
      <t>マンイジョウ</t>
    </rPh>
    <rPh sb="9" eb="10">
      <t>マン</t>
    </rPh>
    <rPh sb="10" eb="12">
      <t>ミマン</t>
    </rPh>
    <phoneticPr fontId="2"/>
  </si>
  <si>
    <t>年金所得</t>
    <rPh sb="0" eb="4">
      <t>ネンキンショトク</t>
    </rPh>
    <phoneticPr fontId="2"/>
  </si>
  <si>
    <t>軽減判定用年金所得</t>
    <rPh sb="0" eb="5">
      <t>ケイゲンハンテイヨウ</t>
    </rPh>
    <rPh sb="5" eb="9">
      <t>ネンキンショトク</t>
    </rPh>
    <phoneticPr fontId="2"/>
  </si>
  <si>
    <t>【所得】給与所得者</t>
    <rPh sb="1" eb="3">
      <t>ショトク</t>
    </rPh>
    <rPh sb="4" eb="9">
      <t>キュウヨショトクシャ</t>
    </rPh>
    <phoneticPr fontId="2"/>
  </si>
  <si>
    <t>【所得】年金所得者</t>
    <rPh sb="1" eb="3">
      <t>ショトク</t>
    </rPh>
    <rPh sb="4" eb="9">
      <t>ネンキンショトクシャ</t>
    </rPh>
    <phoneticPr fontId="2"/>
  </si>
  <si>
    <t>【軽減】年金所得者</t>
    <rPh sb="1" eb="3">
      <t>ケイゲン</t>
    </rPh>
    <rPh sb="4" eb="9">
      <t>ネンキンショトクシャ</t>
    </rPh>
    <phoneticPr fontId="2"/>
  </si>
  <si>
    <t>【所得】給与＋年金・人数</t>
    <rPh sb="1" eb="3">
      <t>ショトク</t>
    </rPh>
    <rPh sb="4" eb="6">
      <t>キュウヨ</t>
    </rPh>
    <rPh sb="7" eb="9">
      <t>ネンキン</t>
    </rPh>
    <rPh sb="10" eb="12">
      <t>ニンズウ</t>
    </rPh>
    <phoneticPr fontId="2"/>
  </si>
  <si>
    <t>【軽減】給与＋年金・人数</t>
    <rPh sb="1" eb="3">
      <t>ケイゲン</t>
    </rPh>
    <rPh sb="4" eb="6">
      <t>キュウヨ</t>
    </rPh>
    <rPh sb="7" eb="9">
      <t>ネンキン</t>
    </rPh>
    <rPh sb="10" eb="12">
      <t>ニンズウ</t>
    </rPh>
    <phoneticPr fontId="2"/>
  </si>
  <si>
    <t>【入力する収入金額について】</t>
    <rPh sb="1" eb="3">
      <t>ニュウリョク</t>
    </rPh>
    <rPh sb="5" eb="7">
      <t>シュウニュウ</t>
    </rPh>
    <rPh sb="7" eb="9">
      <t>キンガク</t>
    </rPh>
    <phoneticPr fontId="2"/>
  </si>
  <si>
    <t>税情報合計所得</t>
    <rPh sb="0" eb="1">
      <t>ゼイ</t>
    </rPh>
    <rPh sb="1" eb="3">
      <t>ジョウホウ</t>
    </rPh>
    <rPh sb="3" eb="7">
      <t>ゴウケイショトク</t>
    </rPh>
    <phoneticPr fontId="2"/>
  </si>
  <si>
    <t>軽減判定用合計所得</t>
    <rPh sb="0" eb="5">
      <t>ケイゲンハンテイヨウ</t>
    </rPh>
    <rPh sb="5" eb="7">
      <t>ゴウケイ</t>
    </rPh>
    <rPh sb="7" eb="9">
      <t>ショトク</t>
    </rPh>
    <phoneticPr fontId="2"/>
  </si>
  <si>
    <t>・</t>
    <phoneticPr fontId="2"/>
  </si>
  <si>
    <t>給与所得の源泉徴収票</t>
    <rPh sb="0" eb="2">
      <t>キュウヨ</t>
    </rPh>
    <rPh sb="2" eb="4">
      <t>ショトク</t>
    </rPh>
    <rPh sb="5" eb="10">
      <t>ゲンセンチョウシュウヒョウ</t>
    </rPh>
    <phoneticPr fontId="2"/>
  </si>
  <si>
    <t>確定申告書の写し（第一表）</t>
    <rPh sb="0" eb="2">
      <t>カクテイ</t>
    </rPh>
    <rPh sb="2" eb="4">
      <t>シンコク</t>
    </rPh>
    <rPh sb="4" eb="5">
      <t>ショ</t>
    </rPh>
    <rPh sb="6" eb="7">
      <t>ウツ</t>
    </rPh>
    <rPh sb="9" eb="10">
      <t>ダイ</t>
    </rPh>
    <rPh sb="10" eb="11">
      <t>イチ</t>
    </rPh>
    <rPh sb="11" eb="12">
      <t>ヒョウ</t>
    </rPh>
    <phoneticPr fontId="2"/>
  </si>
  <si>
    <t>軽減判定用</t>
    <rPh sb="0" eb="4">
      <t>ケイゲンハンテイ</t>
    </rPh>
    <rPh sb="4" eb="5">
      <t>ヨウ</t>
    </rPh>
    <phoneticPr fontId="2"/>
  </si>
  <si>
    <t>合計人数</t>
    <rPh sb="0" eb="4">
      <t>ゴウケイニンズウ</t>
    </rPh>
    <phoneticPr fontId="2"/>
  </si>
  <si>
    <t>軽減判定人数（擬主除く）</t>
    <rPh sb="0" eb="4">
      <t>ケイゲンハンテイ</t>
    </rPh>
    <rPh sb="4" eb="6">
      <t>ニンズウ</t>
    </rPh>
    <rPh sb="7" eb="8">
      <t>ギ</t>
    </rPh>
    <rPh sb="8" eb="9">
      <t>ヌシ</t>
    </rPh>
    <rPh sb="9" eb="10">
      <t>ノゾ</t>
    </rPh>
    <phoneticPr fontId="2"/>
  </si>
  <si>
    <t>給与所得者等</t>
    <rPh sb="0" eb="5">
      <t>キュウヨショトクシャ</t>
    </rPh>
    <rPh sb="5" eb="6">
      <t>トウ</t>
    </rPh>
    <phoneticPr fontId="2"/>
  </si>
  <si>
    <t>軽減判定所得</t>
    <rPh sb="0" eb="4">
      <t>ケイゲンハンテイ</t>
    </rPh>
    <rPh sb="4" eb="6">
      <t>ショトク</t>
    </rPh>
    <phoneticPr fontId="2"/>
  </si>
  <si>
    <t>７割軽減</t>
    <rPh sb="1" eb="4">
      <t>ワリケイゲン</t>
    </rPh>
    <phoneticPr fontId="2"/>
  </si>
  <si>
    <t>５割軽減</t>
    <rPh sb="1" eb="4">
      <t>ワリケイゲン</t>
    </rPh>
    <phoneticPr fontId="2"/>
  </si>
  <si>
    <t>２割軽減</t>
    <rPh sb="1" eb="4">
      <t>ワリケイゲン</t>
    </rPh>
    <phoneticPr fontId="2"/>
  </si>
  <si>
    <t>割軽減</t>
    <rPh sb="0" eb="3">
      <t>ワリケイゲン</t>
    </rPh>
    <phoneticPr fontId="2"/>
  </si>
  <si>
    <t>　・</t>
    <phoneticPr fontId="2"/>
  </si>
  <si>
    <t>公的年金等の源泉徴収票</t>
    <rPh sb="4" eb="5">
      <t>ナド</t>
    </rPh>
    <phoneticPr fontId="2"/>
  </si>
  <si>
    <t>世帯主が国保加入する場合</t>
    <rPh sb="0" eb="3">
      <t>セタイヌシ</t>
    </rPh>
    <rPh sb="4" eb="6">
      <t>コクホ</t>
    </rPh>
    <rPh sb="6" eb="8">
      <t>カニュウ</t>
    </rPh>
    <rPh sb="10" eb="12">
      <t>バアイ</t>
    </rPh>
    <phoneticPr fontId="2"/>
  </si>
  <si>
    <t>令和8年度　城陽市国民健康保険料　計算シミュレーション</t>
    <rPh sb="0" eb="2">
      <t>レイワ</t>
    </rPh>
    <rPh sb="3" eb="5">
      <t>ネンド</t>
    </rPh>
    <rPh sb="6" eb="9">
      <t>ジョウヨウシ</t>
    </rPh>
    <rPh sb="9" eb="16">
      <t>コクミンケンコウホケンリョウ</t>
    </rPh>
    <rPh sb="17" eb="19">
      <t>ケイサン</t>
    </rPh>
    <phoneticPr fontId="2"/>
  </si>
  <si>
    <t>　令和8年度城陽市国民健康保険料（令和8年4月から令和9年3月までの12か月分）を試算することが</t>
    <rPh sb="37" eb="39">
      <t>ゲツブン</t>
    </rPh>
    <phoneticPr fontId="2"/>
  </si>
  <si>
    <t>③・④：令和7年1月から12月までの1年間の総収入額を入力。該当収入がない場合は「0」を入力。</t>
    <rPh sb="4" eb="6">
      <t>レイワ</t>
    </rPh>
    <rPh sb="7" eb="8">
      <t>ネン</t>
    </rPh>
    <rPh sb="9" eb="10">
      <t>ガツ</t>
    </rPh>
    <rPh sb="14" eb="15">
      <t>ガツ</t>
    </rPh>
    <rPh sb="19" eb="21">
      <t>ネンカン</t>
    </rPh>
    <rPh sb="22" eb="26">
      <t>ソウシュウニュウガク</t>
    </rPh>
    <rPh sb="27" eb="29">
      <t>ニュウリョク</t>
    </rPh>
    <rPh sb="30" eb="32">
      <t>ガイトウ</t>
    </rPh>
    <rPh sb="32" eb="34">
      <t>シュウニュウ</t>
    </rPh>
    <rPh sb="37" eb="39">
      <t>バアイ</t>
    </rPh>
    <rPh sb="44" eb="46">
      <t>ニュウリョク</t>
    </rPh>
    <phoneticPr fontId="2"/>
  </si>
  <si>
    <t>令和7年中の給与収入</t>
    <rPh sb="0" eb="2">
      <t>レイワ</t>
    </rPh>
    <rPh sb="3" eb="5">
      <t>ネンチュウ</t>
    </rPh>
    <rPh sb="6" eb="10">
      <t>キュウヨシュウニュウ</t>
    </rPh>
    <phoneticPr fontId="2"/>
  </si>
  <si>
    <t>令和7年中の年金収入</t>
    <rPh sb="0" eb="2">
      <t>レイワ</t>
    </rPh>
    <rPh sb="3" eb="5">
      <t>ネンチュウ</t>
    </rPh>
    <rPh sb="6" eb="8">
      <t>ネンキン</t>
    </rPh>
    <rPh sb="8" eb="10">
      <t>シュウニュウ</t>
    </rPh>
    <phoneticPr fontId="2"/>
  </si>
  <si>
    <t>令和7年中の
その他の所得合計額</t>
    <rPh sb="0" eb="2">
      <t>レイワ</t>
    </rPh>
    <rPh sb="3" eb="5">
      <t>ネンチュウ</t>
    </rPh>
    <rPh sb="9" eb="10">
      <t>ホカ</t>
    </rPh>
    <rPh sb="11" eb="13">
      <t>ショトク</t>
    </rPh>
    <rPh sb="13" eb="16">
      <t>ゴウケイガク</t>
    </rPh>
    <phoneticPr fontId="2"/>
  </si>
  <si>
    <t>～650,999</t>
  </si>
  <si>
    <t>6５万以下</t>
    <rPh sb="2" eb="3">
      <t>マン</t>
    </rPh>
    <rPh sb="3" eb="5">
      <t>イカ</t>
    </rPh>
    <phoneticPr fontId="2"/>
  </si>
  <si>
    <t>6５万引き</t>
    <rPh sb="2" eb="3">
      <t>マン</t>
    </rPh>
    <rPh sb="3" eb="4">
      <t>ヒ</t>
    </rPh>
    <phoneticPr fontId="2"/>
  </si>
  <si>
    <t>651,000～1,899,999</t>
  </si>
  <si>
    <t>1,900,000～3,599,999</t>
  </si>
  <si>
    <t>3,600,000～6,599,999</t>
  </si>
  <si>
    <t>6,600,000～8,499,999</t>
  </si>
  <si>
    <t>8,500,000～</t>
  </si>
  <si>
    <t>①/4000
②小数以下切捨
③*4000</t>
  </si>
  <si>
    <t>←入力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</si>
</sst>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人&quot;"/>
    <numFmt numFmtId="177" formatCode="#,##0_ "/>
    <numFmt numFmtId="178" formatCode="\(&quot;限&quot;&quot;度&quot;&quot;額&quot;0,000&quot;円&quot;\)"/>
    <numFmt numFmtId="179" formatCode="0&quot;割&quot;&quot;軽&quot;&quot;減&quot;"/>
    <numFmt numFmtId="180" formatCode="0;0;"/>
    <numFmt numFmtId="181" formatCode="0000000"/>
    <numFmt numFmtId="182" formatCode="#,##0.00000000;[Red]\-#,##0.00000000"/>
    <numFmt numFmtId="183" formatCode="0.00_ "/>
  </numFmts>
  <fonts count="151">
    <font>
      <sz val="11"/>
      <name val="ＭＳ Ｐゴシック"/>
      <family val="3"/>
      <charset val="128"/>
    </font>
    <font>
      <sz val="11"/>
      <name val="ＭＳ Ｐゴシック"/>
      <family val="3"/>
      <charset val="128"/>
    </font>
    <font>
      <sz val="6"/>
      <name val="ＭＳ Ｐゴシック"/>
      <family val="3"/>
      <charset val="128"/>
    </font>
    <font>
      <sz val="13"/>
      <name val="ＭＳ 明朝"/>
      <family val="1"/>
      <charset val="128"/>
    </font>
    <font>
      <sz val="9"/>
      <name val="ＭＳ 明朝"/>
      <family val="1"/>
      <charset val="128"/>
    </font>
    <font>
      <sz val="16"/>
      <name val="ＭＳ 明朝"/>
      <family val="1"/>
      <charset val="128"/>
    </font>
    <font>
      <sz val="22"/>
      <name val="ＭＳ 明朝"/>
      <family val="1"/>
      <charset val="128"/>
    </font>
    <font>
      <i/>
      <sz val="13"/>
      <color indexed="12"/>
      <name val="ＭＳ 明朝"/>
      <family val="1"/>
      <charset val="128"/>
    </font>
    <font>
      <sz val="13"/>
      <color indexed="53"/>
      <name val="ＭＳ 明朝"/>
      <family val="1"/>
      <charset val="128"/>
    </font>
    <font>
      <sz val="12"/>
      <name val="ＭＳ 明朝"/>
      <family val="1"/>
      <charset val="128"/>
    </font>
    <font>
      <sz val="14"/>
      <name val="ＭＳ 明朝"/>
      <family val="1"/>
      <charset val="128"/>
    </font>
    <font>
      <i/>
      <sz val="13"/>
      <name val="ＭＳ 明朝"/>
      <family val="1"/>
      <charset val="128"/>
    </font>
    <font>
      <sz val="18"/>
      <name val="ＭＳ 明朝"/>
      <family val="1"/>
      <charset val="128"/>
    </font>
    <font>
      <sz val="10"/>
      <name val="ＭＳ 明朝"/>
      <family val="1"/>
      <charset val="128"/>
    </font>
    <font>
      <sz val="24"/>
      <name val="ＭＳ 明朝"/>
      <family val="1"/>
      <charset val="128"/>
    </font>
    <font>
      <sz val="13"/>
      <color indexed="53"/>
      <name val="ＭＳ ゴシック"/>
      <family val="3"/>
      <charset val="128"/>
    </font>
    <font>
      <sz val="14"/>
      <color indexed="53"/>
      <name val="ＭＳ ゴシック"/>
      <family val="3"/>
      <charset val="128"/>
    </font>
    <font>
      <sz val="20"/>
      <color indexed="53"/>
      <name val="ＭＳ ゴシック"/>
      <family val="3"/>
      <charset val="128"/>
    </font>
    <font>
      <sz val="13"/>
      <color indexed="10"/>
      <name val="ＭＳ 明朝"/>
      <family val="1"/>
      <charset val="128"/>
    </font>
    <font>
      <sz val="16"/>
      <color indexed="53"/>
      <name val="ＭＳ ゴシック"/>
      <family val="3"/>
      <charset val="128"/>
    </font>
    <font>
      <sz val="12"/>
      <color indexed="14"/>
      <name val="ＭＳ 明朝"/>
      <family val="1"/>
      <charset val="128"/>
    </font>
    <font>
      <sz val="10"/>
      <color indexed="10"/>
      <name val="ＭＳ ゴシック"/>
      <family val="3"/>
      <charset val="128"/>
    </font>
    <font>
      <sz val="12"/>
      <color indexed="17"/>
      <name val="ＭＳ 明朝"/>
      <family val="1"/>
      <charset val="128"/>
    </font>
    <font>
      <sz val="20"/>
      <color indexed="10"/>
      <name val="ＭＳ 明朝"/>
      <family val="1"/>
      <charset val="128"/>
    </font>
    <font>
      <i/>
      <sz val="13"/>
      <color indexed="10"/>
      <name val="ＭＳ 明朝"/>
      <family val="1"/>
      <charset val="128"/>
    </font>
    <font>
      <sz val="13"/>
      <name val="ＭＳ ゴシック"/>
      <family val="3"/>
      <charset val="128"/>
    </font>
    <font>
      <sz val="12"/>
      <name val="ＭＳ ゴシック"/>
      <family val="3"/>
      <charset val="128"/>
    </font>
    <font>
      <sz val="11"/>
      <name val="ＭＳ 明朝"/>
      <family val="1"/>
      <charset val="128"/>
    </font>
    <font>
      <sz val="14"/>
      <color indexed="12"/>
      <name val="ＭＳ 明朝"/>
      <family val="1"/>
      <charset val="128"/>
    </font>
    <font>
      <sz val="13"/>
      <color indexed="12"/>
      <name val="ＭＳ 明朝"/>
      <family val="1"/>
      <charset val="128"/>
    </font>
    <font>
      <sz val="18"/>
      <color indexed="12"/>
      <name val="ＭＳ 明朝"/>
      <family val="1"/>
      <charset val="128"/>
    </font>
    <font>
      <sz val="20"/>
      <color indexed="12"/>
      <name val="ＭＳ 明朝"/>
      <family val="1"/>
      <charset val="128"/>
    </font>
    <font>
      <sz val="18"/>
      <color indexed="53"/>
      <name val="ＭＳ ゴシック"/>
      <family val="3"/>
      <charset val="128"/>
    </font>
    <font>
      <sz val="11"/>
      <color indexed="53"/>
      <name val="ＭＳ ゴシック"/>
      <family val="3"/>
      <charset val="128"/>
    </font>
    <font>
      <sz val="10"/>
      <color indexed="53"/>
      <name val="ＭＳ ゴシック"/>
      <family val="3"/>
      <charset val="128"/>
    </font>
    <font>
      <b/>
      <sz val="24"/>
      <color indexed="20"/>
      <name val="ＭＳ 明朝"/>
      <family val="1"/>
      <charset val="128"/>
    </font>
    <font>
      <sz val="10"/>
      <color indexed="10"/>
      <name val="ＭＳ 明朝"/>
      <family val="1"/>
      <charset val="128"/>
    </font>
    <font>
      <sz val="14"/>
      <color indexed="10"/>
      <name val="ＭＳ 明朝"/>
      <family val="1"/>
      <charset val="128"/>
    </font>
    <font>
      <sz val="11"/>
      <color indexed="10"/>
      <name val="ＭＳ ゴシック"/>
      <family val="3"/>
      <charset val="128"/>
    </font>
    <font>
      <sz val="12"/>
      <color indexed="10"/>
      <name val="ＭＳ 明朝"/>
      <family val="1"/>
      <charset val="128"/>
    </font>
    <font>
      <b/>
      <sz val="16"/>
      <color indexed="12"/>
      <name val="ＭＳ 明朝"/>
      <family val="1"/>
      <charset val="128"/>
    </font>
    <font>
      <sz val="22"/>
      <color indexed="53"/>
      <name val="ＭＳ ゴシック"/>
      <family val="3"/>
      <charset val="128"/>
    </font>
    <font>
      <sz val="22"/>
      <color indexed="10"/>
      <name val="ＭＳ 明朝"/>
      <family val="1"/>
      <charset val="128"/>
    </font>
    <font>
      <sz val="80"/>
      <color indexed="10"/>
      <name val="ＭＳ 明朝"/>
      <family val="1"/>
      <charset val="128"/>
    </font>
    <font>
      <sz val="16"/>
      <name val="ＭＳ Ｐゴシック"/>
      <family val="3"/>
      <charset val="128"/>
    </font>
    <font>
      <b/>
      <sz val="28"/>
      <color indexed="53"/>
      <name val="ＭＳ 明朝"/>
      <family val="1"/>
      <charset val="128"/>
    </font>
    <font>
      <b/>
      <sz val="22"/>
      <color indexed="12"/>
      <name val="ＭＳ 明朝"/>
      <family val="1"/>
      <charset val="128"/>
    </font>
    <font>
      <b/>
      <sz val="30"/>
      <color indexed="12"/>
      <name val="ＭＳ ゴシック"/>
      <family val="3"/>
      <charset val="128"/>
    </font>
    <font>
      <b/>
      <sz val="36"/>
      <color indexed="10"/>
      <name val="ＭＳ 明朝"/>
      <family val="1"/>
      <charset val="128"/>
    </font>
    <font>
      <sz val="12"/>
      <color indexed="53"/>
      <name val="ＭＳ ゴシック"/>
      <family val="3"/>
      <charset val="128"/>
    </font>
    <font>
      <b/>
      <sz val="18"/>
      <color indexed="10"/>
      <name val="ＭＳ ゴシック"/>
      <family val="3"/>
      <charset val="128"/>
    </font>
    <font>
      <sz val="18"/>
      <color indexed="56"/>
      <name val="ＭＳ 明朝"/>
      <family val="1"/>
      <charset val="128"/>
    </font>
    <font>
      <sz val="16"/>
      <color indexed="18"/>
      <name val="ＭＳ 明朝"/>
      <family val="1"/>
      <charset val="128"/>
    </font>
    <font>
      <sz val="18"/>
      <color indexed="10"/>
      <name val="HGｺﾞｼｯｸM"/>
      <family val="3"/>
      <charset val="128"/>
    </font>
    <font>
      <sz val="9"/>
      <color indexed="10"/>
      <name val="ＭＳ Ｐゴシック"/>
      <family val="3"/>
      <charset val="128"/>
    </font>
    <font>
      <sz val="13"/>
      <color indexed="17"/>
      <name val="ＭＳ 明朝"/>
      <family val="1"/>
      <charset val="128"/>
    </font>
    <font>
      <b/>
      <sz val="30"/>
      <color indexed="18"/>
      <name val="ＭＳ ゴシック"/>
      <family val="3"/>
      <charset val="128"/>
    </font>
    <font>
      <sz val="30"/>
      <color indexed="12"/>
      <name val="ＭＳ ゴシック"/>
      <family val="3"/>
      <charset val="128"/>
    </font>
    <font>
      <b/>
      <sz val="26"/>
      <color indexed="53"/>
      <name val="ＭＳ ゴシック"/>
      <family val="3"/>
      <charset val="128"/>
    </font>
    <font>
      <sz val="13"/>
      <color indexed="56"/>
      <name val="ＭＳ 明朝"/>
      <family val="1"/>
      <charset val="128"/>
    </font>
    <font>
      <sz val="10"/>
      <name val="ＭＳ ゴシック"/>
      <family val="3"/>
      <charset val="128"/>
    </font>
    <font>
      <b/>
      <sz val="13"/>
      <name val="ＭＳ ゴシック"/>
      <family val="3"/>
      <charset val="128"/>
    </font>
    <font>
      <sz val="16"/>
      <color indexed="53"/>
      <name val="ＭＳ 明朝"/>
      <family val="1"/>
      <charset val="128"/>
    </font>
    <font>
      <b/>
      <sz val="24"/>
      <color indexed="10"/>
      <name val="TT-JTC古印体"/>
      <family val="3"/>
      <charset val="128"/>
    </font>
    <font>
      <b/>
      <sz val="14"/>
      <color indexed="10"/>
      <name val="ＭＳ ゴシック"/>
      <family val="3"/>
      <charset val="128"/>
    </font>
    <font>
      <sz val="18"/>
      <color indexed="10"/>
      <name val="ＭＳ Ｐゴシック"/>
      <family val="3"/>
      <charset val="128"/>
    </font>
    <font>
      <b/>
      <sz val="22"/>
      <color indexed="58"/>
      <name val="ＭＳ 明朝"/>
      <family val="1"/>
      <charset val="128"/>
    </font>
    <font>
      <b/>
      <sz val="24"/>
      <color indexed="58"/>
      <name val="ＭＳ 明朝"/>
      <family val="1"/>
      <charset val="128"/>
    </font>
    <font>
      <sz val="18"/>
      <color indexed="10"/>
      <name val="ＭＳ 明朝"/>
      <family val="1"/>
      <charset val="128"/>
    </font>
    <font>
      <sz val="18"/>
      <name val="ＭＳ Ｐゴシック"/>
      <family val="3"/>
      <charset val="128"/>
    </font>
    <font>
      <i/>
      <sz val="18"/>
      <color indexed="12"/>
      <name val="ＭＳ 明朝"/>
      <family val="1"/>
      <charset val="128"/>
    </font>
    <font>
      <sz val="16"/>
      <color indexed="10"/>
      <name val="ＭＳ 明朝"/>
      <family val="1"/>
      <charset val="128"/>
    </font>
    <font>
      <sz val="36"/>
      <color indexed="10"/>
      <name val="HGP創英角ｺﾞｼｯｸUB"/>
      <family val="3"/>
      <charset val="128"/>
    </font>
    <font>
      <sz val="13"/>
      <color indexed="57"/>
      <name val="ＭＳ 明朝"/>
      <family val="1"/>
      <charset val="128"/>
    </font>
    <font>
      <sz val="12"/>
      <color indexed="23"/>
      <name val="ＭＳ 明朝"/>
      <family val="1"/>
      <charset val="128"/>
    </font>
    <font>
      <sz val="11"/>
      <color indexed="53"/>
      <name val="ＭＳ Ｐゴシック"/>
      <family val="3"/>
      <charset val="128"/>
    </font>
    <font>
      <sz val="16"/>
      <color indexed="53"/>
      <name val="ＭＳ Ｐゴシック"/>
      <family val="3"/>
      <charset val="128"/>
    </font>
    <font>
      <sz val="12"/>
      <color indexed="53"/>
      <name val="ＭＳ 明朝"/>
      <family val="1"/>
      <charset val="128"/>
    </font>
    <font>
      <sz val="9"/>
      <color indexed="53"/>
      <name val="ＭＳ 明朝"/>
      <family val="1"/>
      <charset val="128"/>
    </font>
    <font>
      <sz val="14"/>
      <color indexed="53"/>
      <name val="ＭＳ 明朝"/>
      <family val="1"/>
      <charset val="128"/>
    </font>
    <font>
      <sz val="6"/>
      <name val="ＭＳ 明朝"/>
      <family val="1"/>
      <charset val="128"/>
    </font>
    <font>
      <sz val="11"/>
      <color indexed="53"/>
      <name val="ＭＳ 明朝"/>
      <family val="1"/>
      <charset val="128"/>
    </font>
    <font>
      <sz val="11"/>
      <name val="ＭＳ Ｐゴシック"/>
      <family val="3"/>
      <charset val="128"/>
    </font>
    <font>
      <sz val="24"/>
      <color indexed="10"/>
      <name val="ＭＳ 明朝"/>
      <family val="1"/>
      <charset val="128"/>
    </font>
    <font>
      <sz val="12"/>
      <name val="ＭＳ Ｐゴシック"/>
      <family val="3"/>
      <charset val="128"/>
    </font>
    <font>
      <b/>
      <sz val="18"/>
      <name val="ＭＳ 明朝"/>
      <family val="1"/>
      <charset val="128"/>
    </font>
    <font>
      <sz val="14"/>
      <name val="ＭＳ Ｐゴシック"/>
      <family val="3"/>
      <charset val="128"/>
    </font>
    <font>
      <sz val="14"/>
      <name val="ＭＳ ゴシック"/>
      <family val="3"/>
      <charset val="128"/>
    </font>
    <font>
      <b/>
      <sz val="20"/>
      <color indexed="53"/>
      <name val="ＭＳ Ｐゴシック"/>
      <family val="3"/>
      <charset val="128"/>
    </font>
    <font>
      <sz val="12"/>
      <color indexed="53"/>
      <name val="ＭＳ Ｐゴシック"/>
      <family val="3"/>
      <charset val="128"/>
    </font>
    <font>
      <sz val="14"/>
      <color indexed="53"/>
      <name val="ＭＳ Ｐゴシック"/>
      <family val="3"/>
      <charset val="128"/>
    </font>
    <font>
      <b/>
      <sz val="18"/>
      <color indexed="53"/>
      <name val="ＭＳ Ｐゴシック"/>
      <family val="3"/>
      <charset val="128"/>
    </font>
    <font>
      <sz val="13"/>
      <color indexed="10"/>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14"/>
      <name val="ＭＳ ゴシック"/>
      <family val="3"/>
      <charset val="128"/>
    </font>
    <font>
      <b/>
      <sz val="18"/>
      <name val="ＭＳ ゴシック"/>
      <family val="3"/>
      <charset val="128"/>
    </font>
    <font>
      <b/>
      <sz val="16"/>
      <color indexed="81"/>
      <name val="MS P ゴシック"/>
      <family val="3"/>
      <charset val="128"/>
    </font>
    <font>
      <b/>
      <sz val="18"/>
      <color indexed="81"/>
      <name val="MS P ゴシック"/>
      <family val="3"/>
      <charset val="128"/>
    </font>
    <font>
      <b/>
      <sz val="12"/>
      <name val="ＭＳ Ｐゴシック"/>
      <family val="3"/>
      <charset val="128"/>
    </font>
    <font>
      <sz val="20"/>
      <name val="ＭＳ Ｐゴシック"/>
      <family val="3"/>
      <charset val="128"/>
    </font>
    <font>
      <sz val="12"/>
      <color indexed="56"/>
      <name val="ＭＳ 明朝"/>
      <family val="1"/>
      <charset val="128"/>
    </font>
    <font>
      <b/>
      <sz val="24"/>
      <color indexed="10"/>
      <name val="ＭＳ Ｐゴシック"/>
      <family val="3"/>
      <charset val="128"/>
    </font>
    <font>
      <sz val="6"/>
      <name val="ＭＳ Ｐゴシック"/>
      <family val="3"/>
      <charset val="128"/>
    </font>
    <font>
      <sz val="6"/>
      <name val="游ゴシック"/>
      <family val="3"/>
      <charset val="128"/>
    </font>
    <font>
      <sz val="12"/>
      <name val="HG丸ｺﾞｼｯｸM-PRO"/>
      <family val="3"/>
      <charset val="128"/>
    </font>
    <font>
      <b/>
      <sz val="14"/>
      <color theme="1"/>
      <name val="ＭＳ ゴシック"/>
      <family val="3"/>
      <charset val="128"/>
    </font>
    <font>
      <sz val="10"/>
      <color theme="6" tint="-0.499984740745262"/>
      <name val="ＭＳ 明朝"/>
      <family val="1"/>
      <charset val="128"/>
    </font>
    <font>
      <b/>
      <sz val="18"/>
      <color rgb="FF0070C0"/>
      <name val="ＭＳ ゴシック"/>
      <family val="3"/>
      <charset val="128"/>
    </font>
    <font>
      <sz val="11"/>
      <color rgb="FF000000"/>
      <name val="HG丸ｺﾞｼｯｸM-PRO"/>
      <family val="3"/>
      <charset val="128"/>
    </font>
    <font>
      <sz val="12"/>
      <color rgb="FF000000"/>
      <name val="HG丸ｺﾞｼｯｸM-PRO"/>
      <family val="3"/>
      <charset val="128"/>
    </font>
    <font>
      <sz val="12"/>
      <color rgb="FFFF0000"/>
      <name val="HG丸ｺﾞｼｯｸM-PRO"/>
      <family val="3"/>
      <charset val="128"/>
    </font>
    <font>
      <sz val="11"/>
      <color rgb="FF003366"/>
      <name val="HG丸ｺﾞｼｯｸM-PRO"/>
      <family val="3"/>
      <charset val="128"/>
    </font>
    <font>
      <b/>
      <sz val="12"/>
      <color rgb="FF000000"/>
      <name val="HG丸ｺﾞｼｯｸM-PRO"/>
      <family val="3"/>
      <charset val="128"/>
    </font>
    <font>
      <sz val="13"/>
      <color theme="9" tint="-0.249977111117893"/>
      <name val="ＭＳ 明朝"/>
      <family val="1"/>
      <charset val="128"/>
    </font>
    <font>
      <sz val="20"/>
      <color theme="9" tint="-0.249977111117893"/>
      <name val="ＭＳ 明朝"/>
      <family val="1"/>
      <charset val="128"/>
    </font>
    <font>
      <sz val="13"/>
      <color rgb="FF9A0602"/>
      <name val="ＭＳ 明朝"/>
      <family val="1"/>
      <charset val="128"/>
    </font>
    <font>
      <sz val="18"/>
      <color theme="9" tint="-0.249977111117893"/>
      <name val="ＭＳ 明朝"/>
      <family val="1"/>
      <charset val="128"/>
    </font>
    <font>
      <sz val="18"/>
      <color theme="9" tint="-0.249977111117893"/>
      <name val="ＭＳ Ｐゴシック"/>
      <family val="3"/>
      <charset val="128"/>
    </font>
    <font>
      <sz val="11"/>
      <color theme="9" tint="-0.249977111117893"/>
      <name val="ＭＳ Ｐゴシック"/>
      <family val="3"/>
      <charset val="128"/>
    </font>
    <font>
      <b/>
      <sz val="20"/>
      <color rgb="FFFF0000"/>
      <name val="ＭＳ 明朝"/>
      <family val="1"/>
      <charset val="128"/>
    </font>
    <font>
      <b/>
      <sz val="14"/>
      <color rgb="FF0070C0"/>
      <name val="ＭＳ ゴシック"/>
      <family val="3"/>
      <charset val="128"/>
    </font>
    <font>
      <sz val="13"/>
      <color rgb="FFFF0000"/>
      <name val="ＭＳ 明朝"/>
      <family val="1"/>
      <charset val="128"/>
    </font>
    <font>
      <i/>
      <sz val="18"/>
      <color theme="9" tint="-0.249977111117893"/>
      <name val="ＭＳ 明朝"/>
      <family val="1"/>
      <charset val="128"/>
    </font>
    <font>
      <sz val="13"/>
      <color theme="9" tint="-0.249977111117893"/>
      <name val="ＭＳ ゴシック"/>
      <family val="3"/>
      <charset val="128"/>
    </font>
    <font>
      <sz val="11"/>
      <color rgb="FFFF0000"/>
      <name val="HG丸ｺﾞｼｯｸM-PRO"/>
      <family val="3"/>
      <charset val="128"/>
    </font>
    <font>
      <sz val="14"/>
      <name val="HG丸ｺﾞｼｯｸM-PRO"/>
      <family val="3"/>
      <charset val="128"/>
    </font>
    <font>
      <sz val="14"/>
      <color rgb="FF000000"/>
      <name val="HG丸ｺﾞｼｯｸM-PRO"/>
      <family val="3"/>
      <charset val="128"/>
    </font>
    <font>
      <b/>
      <sz val="11"/>
      <name val="ＭＳ 明朝"/>
      <family val="1"/>
      <charset val="128"/>
    </font>
    <font>
      <b/>
      <sz val="9"/>
      <name val="ＭＳ Ｐゴシック"/>
      <family val="3"/>
      <charset val="128"/>
    </font>
    <font>
      <b/>
      <sz val="10"/>
      <name val="ＭＳ Ｐゴシック"/>
      <family val="3"/>
      <charset val="128"/>
    </font>
    <font>
      <b/>
      <sz val="8"/>
      <name val="ＭＳ Ｐゴシック"/>
      <family val="3"/>
      <charset val="128"/>
    </font>
    <font>
      <sz val="6"/>
      <name val="ＭＳ Ｐゴシック"/>
      <family val="2"/>
      <charset val="128"/>
      <scheme val="minor"/>
    </font>
    <font>
      <b/>
      <sz val="9"/>
      <color indexed="81"/>
      <name val="MS P ゴシック"/>
      <family val="3"/>
      <charset val="128"/>
    </font>
    <font>
      <b/>
      <sz val="16"/>
      <name val="ＭＳ Ｐゴシック"/>
      <family val="3"/>
      <charset val="128"/>
    </font>
    <font>
      <sz val="12"/>
      <color theme="9" tint="-0.249977111117893"/>
      <name val="ＭＳ 明朝"/>
      <family val="1"/>
      <charset val="128"/>
    </font>
    <font>
      <sz val="11"/>
      <color indexed="17"/>
      <name val="ＭＳ 明朝"/>
      <family val="1"/>
      <charset val="128"/>
    </font>
    <font>
      <sz val="16"/>
      <color theme="9" tint="-0.249977111117893"/>
      <name val="ＭＳ 明朝"/>
      <family val="1"/>
      <charset val="128"/>
    </font>
    <font>
      <sz val="8"/>
      <name val="ＭＳ 明朝"/>
      <family val="1"/>
      <charset val="128"/>
    </font>
    <font>
      <b/>
      <sz val="14"/>
      <color indexed="20"/>
      <name val="ＭＳ 明朝"/>
      <family val="1"/>
      <charset val="128"/>
    </font>
    <font>
      <b/>
      <sz val="18"/>
      <name val="HG丸ｺﾞｼｯｸM-PRO"/>
      <family val="3"/>
      <charset val="128"/>
    </font>
    <font>
      <sz val="11"/>
      <name val="HG丸ｺﾞｼｯｸM-PRO"/>
      <family val="3"/>
      <charset val="128"/>
    </font>
    <font>
      <sz val="10"/>
      <name val="HG丸ｺﾞｼｯｸM-PRO"/>
      <family val="3"/>
      <charset val="128"/>
    </font>
    <font>
      <u/>
      <sz val="11"/>
      <name val="HG丸ｺﾞｼｯｸM-PRO"/>
      <family val="3"/>
      <charset val="128"/>
    </font>
    <font>
      <sz val="9"/>
      <name val="HG丸ｺﾞｼｯｸM-PRO"/>
      <family val="3"/>
      <charset val="128"/>
    </font>
    <font>
      <sz val="18"/>
      <name val="HG丸ｺﾞｼｯｸM-PRO"/>
      <family val="3"/>
      <charset val="128"/>
    </font>
    <font>
      <sz val="16"/>
      <name val="HG丸ｺﾞｼｯｸM-PRO"/>
      <family val="3"/>
      <charset val="128"/>
    </font>
    <font>
      <sz val="26"/>
      <name val="HGP創英角ｺﾞｼｯｸUB"/>
      <family val="3"/>
      <charset val="128"/>
    </font>
    <font>
      <sz val="10.5"/>
      <name val="HG丸ｺﾞｼｯｸM-PRO"/>
      <family val="3"/>
      <charset val="128"/>
    </font>
  </fonts>
  <fills count="2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15"/>
        <bgColor indexed="64"/>
      </patternFill>
    </fill>
    <fill>
      <patternFill patternType="solid">
        <fgColor theme="9" tint="0.59999389629810485"/>
        <bgColor indexed="64"/>
      </patternFill>
    </fill>
    <fill>
      <patternFill patternType="solid">
        <fgColor rgb="FF92D050"/>
        <bgColor rgb="FF000000"/>
      </patternFill>
    </fill>
    <fill>
      <patternFill patternType="solid">
        <fgColor rgb="FFFFFF00"/>
        <bgColor indexed="64"/>
      </patternFill>
    </fill>
    <fill>
      <patternFill patternType="solid">
        <fgColor theme="8" tint="0.39997558519241921"/>
        <bgColor indexed="64"/>
      </patternFill>
    </fill>
    <fill>
      <patternFill patternType="solid">
        <fgColor rgb="FFFFFF66"/>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rgb="FFAE80EC"/>
        <bgColor indexed="64"/>
      </patternFill>
    </fill>
    <fill>
      <patternFill patternType="solid">
        <fgColor theme="0" tint="-0.14999847407452621"/>
        <bgColor indexed="64"/>
      </patternFill>
    </fill>
  </fills>
  <borders count="327">
    <border>
      <left/>
      <right/>
      <top/>
      <bottom/>
      <diagonal/>
    </border>
    <border>
      <left/>
      <right/>
      <top style="mediumDashed">
        <color indexed="10"/>
      </top>
      <bottom/>
      <diagonal/>
    </border>
    <border>
      <left/>
      <right style="mediumDashed">
        <color indexed="10"/>
      </right>
      <top style="mediumDashed">
        <color indexed="10"/>
      </top>
      <bottom/>
      <diagonal/>
    </border>
    <border>
      <left/>
      <right style="mediumDashed">
        <color indexed="10"/>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diagonalDown="1">
      <left style="thin">
        <color indexed="10"/>
      </left>
      <right style="thin">
        <color indexed="10"/>
      </right>
      <top style="thin">
        <color indexed="10"/>
      </top>
      <bottom style="thin">
        <color indexed="10"/>
      </bottom>
      <diagonal style="thin">
        <color indexed="10"/>
      </diagonal>
    </border>
    <border>
      <left style="thin">
        <color indexed="10"/>
      </left>
      <right style="thin">
        <color indexed="10"/>
      </right>
      <top style="thin">
        <color indexed="10"/>
      </top>
      <bottom style="thin">
        <color indexed="10"/>
      </bottom>
      <diagonal/>
    </border>
    <border>
      <left style="thin">
        <color indexed="64"/>
      </left>
      <right/>
      <top style="thin">
        <color indexed="64"/>
      </top>
      <bottom/>
      <diagonal/>
    </border>
    <border>
      <left/>
      <right/>
      <top style="thin">
        <color indexed="64"/>
      </top>
      <bottom/>
      <diagonal/>
    </border>
    <border diagonalDown="1">
      <left style="thin">
        <color indexed="10"/>
      </left>
      <right style="thin">
        <color indexed="10"/>
      </right>
      <top style="thin">
        <color indexed="10"/>
      </top>
      <bottom style="thin">
        <color indexed="10"/>
      </bottom>
      <diagonal style="thin">
        <color indexed="64"/>
      </diagonal>
    </border>
    <border>
      <left style="mediumDashed">
        <color indexed="10"/>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style="double">
        <color indexed="64"/>
      </right>
      <top style="double">
        <color indexed="64"/>
      </top>
      <bottom style="double">
        <color indexed="64"/>
      </bottom>
      <diagonal/>
    </border>
    <border>
      <left style="mediumDashed">
        <color indexed="10"/>
      </left>
      <right/>
      <top/>
      <bottom style="mediumDashed">
        <color indexed="10"/>
      </bottom>
      <diagonal/>
    </border>
    <border>
      <left/>
      <right/>
      <top/>
      <bottom style="mediumDashed">
        <color indexed="10"/>
      </bottom>
      <diagonal/>
    </border>
    <border>
      <left/>
      <right style="mediumDashed">
        <color indexed="10"/>
      </right>
      <top/>
      <bottom style="mediumDashed">
        <color indexed="10"/>
      </bottom>
      <diagonal/>
    </border>
    <border>
      <left/>
      <right/>
      <top style="dotted">
        <color indexed="64"/>
      </top>
      <bottom style="thin">
        <color indexed="64"/>
      </bottom>
      <diagonal/>
    </border>
    <border>
      <left style="dotted">
        <color indexed="64"/>
      </left>
      <right/>
      <top style="dotted">
        <color indexed="64"/>
      </top>
      <bottom/>
      <diagonal/>
    </border>
    <border>
      <left/>
      <right/>
      <top style="thin">
        <color indexed="64"/>
      </top>
      <bottom style="dotted">
        <color indexed="64"/>
      </bottom>
      <diagonal/>
    </border>
    <border>
      <left/>
      <right style="thin">
        <color indexed="64"/>
      </right>
      <top style="thin">
        <color indexed="64"/>
      </top>
      <bottom/>
      <diagonal/>
    </border>
    <border>
      <left/>
      <right style="thin">
        <color indexed="64"/>
      </right>
      <top style="dotted">
        <color indexed="64"/>
      </top>
      <bottom/>
      <diagonal/>
    </border>
    <border>
      <left style="mediumDashed">
        <color indexed="10"/>
      </left>
      <right/>
      <top style="mediumDashed">
        <color indexed="10"/>
      </top>
      <bottom/>
      <diagonal/>
    </border>
    <border>
      <left style="thin">
        <color indexed="64"/>
      </left>
      <right/>
      <top/>
      <bottom/>
      <diagonal/>
    </border>
    <border>
      <left/>
      <right style="dotted">
        <color indexed="64"/>
      </right>
      <top/>
      <bottom/>
      <diagonal/>
    </border>
    <border>
      <left/>
      <right/>
      <top/>
      <bottom style="thin">
        <color indexed="10"/>
      </bottom>
      <diagonal/>
    </border>
    <border>
      <left/>
      <right style="double">
        <color indexed="10"/>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right style="thin">
        <color indexed="64"/>
      </right>
      <top style="dotted">
        <color indexed="64"/>
      </top>
      <bottom style="thin">
        <color indexed="64"/>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style="double">
        <color indexed="10"/>
      </left>
      <right/>
      <top/>
      <bottom style="dotted">
        <color indexed="64"/>
      </bottom>
      <diagonal/>
    </border>
    <border>
      <left style="double">
        <color indexed="10"/>
      </left>
      <right/>
      <top style="dotted">
        <color indexed="64"/>
      </top>
      <bottom style="dotted">
        <color indexed="64"/>
      </bottom>
      <diagonal/>
    </border>
    <border>
      <left style="double">
        <color indexed="10"/>
      </left>
      <right/>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right style="double">
        <color indexed="10"/>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style="thin">
        <color indexed="10"/>
      </bottom>
      <diagonal/>
    </border>
    <border>
      <left/>
      <right style="thin">
        <color indexed="10"/>
      </right>
      <top style="thin">
        <color indexed="10"/>
      </top>
      <bottom/>
      <diagonal/>
    </border>
    <border>
      <left/>
      <right style="thin">
        <color indexed="10"/>
      </right>
      <top/>
      <bottom style="thin">
        <color indexed="10"/>
      </bottom>
      <diagonal/>
    </border>
    <border>
      <left/>
      <right style="thin">
        <color indexed="10"/>
      </right>
      <top style="dotted">
        <color indexed="10"/>
      </top>
      <bottom style="thin">
        <color indexed="10"/>
      </bottom>
      <diagonal/>
    </border>
    <border>
      <left style="mediumDashed">
        <color indexed="10"/>
      </left>
      <right/>
      <top style="thin">
        <color indexed="10"/>
      </top>
      <bottom style="dotted">
        <color indexed="10"/>
      </bottom>
      <diagonal/>
    </border>
    <border>
      <left style="mediumDashed">
        <color indexed="10"/>
      </left>
      <right/>
      <top style="dotted">
        <color indexed="10"/>
      </top>
      <bottom style="dotted">
        <color indexed="10"/>
      </bottom>
      <diagonal/>
    </border>
    <border>
      <left style="mediumDashed">
        <color indexed="10"/>
      </left>
      <right/>
      <top style="dotted">
        <color indexed="10"/>
      </top>
      <bottom style="thin">
        <color indexed="10"/>
      </bottom>
      <diagonal/>
    </border>
    <border>
      <left/>
      <right style="thin">
        <color indexed="10"/>
      </right>
      <top style="dotted">
        <color indexed="10"/>
      </top>
      <bottom style="dotted">
        <color indexed="10"/>
      </bottom>
      <diagonal/>
    </border>
    <border>
      <left/>
      <right style="thin">
        <color indexed="10"/>
      </right>
      <top style="thin">
        <color indexed="10"/>
      </top>
      <bottom style="dotted">
        <color indexed="10"/>
      </bottom>
      <diagonal/>
    </border>
    <border>
      <left style="double">
        <color indexed="64"/>
      </left>
      <right/>
      <top/>
      <bottom style="double">
        <color indexed="64"/>
      </bottom>
      <diagonal/>
    </border>
    <border>
      <left/>
      <right/>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dashDot">
        <color indexed="64"/>
      </top>
      <bottom/>
      <diagonal/>
    </border>
    <border>
      <left/>
      <right/>
      <top/>
      <bottom style="dashDot">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10"/>
      </left>
      <right style="thin">
        <color indexed="10"/>
      </right>
      <top style="thin">
        <color indexed="10"/>
      </top>
      <bottom style="double">
        <color indexed="10"/>
      </bottom>
      <diagonal/>
    </border>
    <border>
      <left style="thin">
        <color indexed="10"/>
      </left>
      <right style="thin">
        <color indexed="10"/>
      </right>
      <top style="thin">
        <color indexed="10"/>
      </top>
      <bottom style="double">
        <color indexed="10"/>
      </bottom>
      <diagonal/>
    </border>
    <border>
      <left style="thin">
        <color indexed="10"/>
      </left>
      <right/>
      <top style="thin">
        <color indexed="10"/>
      </top>
      <bottom style="double">
        <color indexed="10"/>
      </bottom>
      <diagonal/>
    </border>
    <border>
      <left/>
      <right/>
      <top style="thin">
        <color indexed="10"/>
      </top>
      <bottom style="double">
        <color indexed="10"/>
      </bottom>
      <diagonal/>
    </border>
    <border>
      <left/>
      <right style="thin">
        <color indexed="10"/>
      </right>
      <top style="thin">
        <color indexed="10"/>
      </top>
      <bottom style="double">
        <color indexed="10"/>
      </bottom>
      <diagonal/>
    </border>
    <border>
      <left/>
      <right style="double">
        <color indexed="10"/>
      </right>
      <top style="thin">
        <color indexed="10"/>
      </top>
      <bottom style="double">
        <color indexed="10"/>
      </bottom>
      <diagonal/>
    </border>
    <border>
      <left style="double">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double">
        <color indexed="10"/>
      </right>
      <top style="thin">
        <color indexed="10"/>
      </top>
      <bottom style="thin">
        <color indexed="10"/>
      </bottom>
      <diagonal/>
    </border>
    <border diagonalDown="1">
      <left style="thin">
        <color indexed="10"/>
      </left>
      <right/>
      <top style="thin">
        <color indexed="10"/>
      </top>
      <bottom style="thin">
        <color indexed="10"/>
      </bottom>
      <diagonal style="thin">
        <color indexed="10"/>
      </diagonal>
    </border>
    <border diagonalDown="1">
      <left/>
      <right/>
      <top style="thin">
        <color indexed="10"/>
      </top>
      <bottom style="thin">
        <color indexed="10"/>
      </bottom>
      <diagonal style="thin">
        <color indexed="10"/>
      </diagonal>
    </border>
    <border diagonalDown="1">
      <left/>
      <right style="double">
        <color indexed="10"/>
      </right>
      <top style="thin">
        <color indexed="10"/>
      </top>
      <bottom style="thin">
        <color indexed="10"/>
      </bottom>
      <diagonal style="thin">
        <color indexed="10"/>
      </diagonal>
    </border>
    <border diagonalDown="1">
      <left style="thin">
        <color indexed="10"/>
      </left>
      <right/>
      <top style="thin">
        <color indexed="10"/>
      </top>
      <bottom/>
      <diagonal style="thin">
        <color indexed="10"/>
      </diagonal>
    </border>
    <border diagonalDown="1">
      <left/>
      <right/>
      <top style="thin">
        <color indexed="10"/>
      </top>
      <bottom/>
      <diagonal style="thin">
        <color indexed="10"/>
      </diagonal>
    </border>
    <border diagonalDown="1">
      <left/>
      <right style="double">
        <color indexed="10"/>
      </right>
      <top style="thin">
        <color indexed="10"/>
      </top>
      <bottom/>
      <diagonal style="thin">
        <color indexed="10"/>
      </diagonal>
    </border>
    <border>
      <left style="thin">
        <color indexed="10"/>
      </left>
      <right/>
      <top style="double">
        <color indexed="10"/>
      </top>
      <bottom style="thin">
        <color indexed="10"/>
      </bottom>
      <diagonal/>
    </border>
    <border>
      <left/>
      <right/>
      <top style="double">
        <color indexed="10"/>
      </top>
      <bottom style="thin">
        <color indexed="10"/>
      </bottom>
      <diagonal/>
    </border>
    <border>
      <left/>
      <right style="double">
        <color indexed="10"/>
      </right>
      <top style="double">
        <color indexed="10"/>
      </top>
      <bottom style="thin">
        <color indexed="10"/>
      </bottom>
      <diagonal/>
    </border>
    <border>
      <left style="double">
        <color indexed="64"/>
      </left>
      <right style="dotted">
        <color indexed="64"/>
      </right>
      <top style="thin">
        <color indexed="64"/>
      </top>
      <bottom/>
      <diagonal/>
    </border>
    <border>
      <left style="double">
        <color indexed="64"/>
      </left>
      <right style="dotted">
        <color indexed="64"/>
      </right>
      <top/>
      <bottom/>
      <diagonal/>
    </border>
    <border>
      <left style="double">
        <color indexed="64"/>
      </left>
      <right style="dotted">
        <color indexed="64"/>
      </right>
      <top/>
      <bottom style="double">
        <color indexed="64"/>
      </bottom>
      <diagonal/>
    </border>
    <border>
      <left style="double">
        <color indexed="10"/>
      </left>
      <right style="thin">
        <color indexed="10"/>
      </right>
      <top style="double">
        <color indexed="10"/>
      </top>
      <bottom style="thin">
        <color indexed="10"/>
      </bottom>
      <diagonal/>
    </border>
    <border>
      <left style="thin">
        <color indexed="10"/>
      </left>
      <right style="thin">
        <color indexed="10"/>
      </right>
      <top style="double">
        <color indexed="10"/>
      </top>
      <bottom style="thin">
        <color indexed="10"/>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10"/>
      </right>
      <top style="double">
        <color indexed="10"/>
      </top>
      <bottom style="thin">
        <color indexed="10"/>
      </bottom>
      <diagonal/>
    </border>
    <border diagonalDown="1">
      <left style="thin">
        <color indexed="10"/>
      </left>
      <right/>
      <top style="thin">
        <color indexed="10"/>
      </top>
      <bottom style="double">
        <color indexed="10"/>
      </bottom>
      <diagonal style="thin">
        <color indexed="10"/>
      </diagonal>
    </border>
    <border diagonalDown="1">
      <left/>
      <right/>
      <top style="thin">
        <color indexed="10"/>
      </top>
      <bottom style="double">
        <color indexed="10"/>
      </bottom>
      <diagonal style="thin">
        <color indexed="10"/>
      </diagonal>
    </border>
    <border diagonalDown="1">
      <left/>
      <right style="double">
        <color indexed="10"/>
      </right>
      <top style="thin">
        <color indexed="10"/>
      </top>
      <bottom style="double">
        <color indexed="10"/>
      </bottom>
      <diagonal style="thin">
        <color indexed="10"/>
      </diagonal>
    </border>
    <border>
      <left/>
      <right style="thin">
        <color indexed="10"/>
      </right>
      <top style="thin">
        <color indexed="10"/>
      </top>
      <bottom style="thin">
        <color indexed="10"/>
      </bottom>
      <diagonal/>
    </border>
    <border diagonalDown="1">
      <left/>
      <right style="thin">
        <color indexed="10"/>
      </right>
      <top style="thin">
        <color indexed="10"/>
      </top>
      <bottom style="thin">
        <color indexed="10"/>
      </bottom>
      <diagonal style="thin">
        <color indexed="10"/>
      </diagonal>
    </border>
    <border diagonalDown="1">
      <left/>
      <right style="thin">
        <color indexed="10"/>
      </right>
      <top style="thin">
        <color indexed="10"/>
      </top>
      <bottom/>
      <diagonal style="thin">
        <color indexed="10"/>
      </diagonal>
    </border>
    <border diagonalDown="1">
      <left style="thin">
        <color indexed="10"/>
      </left>
      <right style="thin">
        <color indexed="10"/>
      </right>
      <top style="thin">
        <color indexed="10"/>
      </top>
      <bottom/>
      <diagonal style="thin">
        <color indexed="10"/>
      </diagonal>
    </border>
    <border>
      <left style="double">
        <color indexed="64"/>
      </left>
      <right style="dotted">
        <color indexed="64"/>
      </right>
      <top/>
      <bottom style="thin">
        <color indexed="64"/>
      </bottom>
      <diagonal/>
    </border>
    <border>
      <left style="dotted">
        <color indexed="64"/>
      </left>
      <right/>
      <top/>
      <bottom style="double">
        <color indexed="64"/>
      </bottom>
      <diagonal/>
    </border>
    <border>
      <left/>
      <right style="dotted">
        <color indexed="64"/>
      </right>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17"/>
      </left>
      <right/>
      <top/>
      <bottom/>
      <diagonal/>
    </border>
    <border>
      <left/>
      <right style="hair">
        <color indexed="64"/>
      </right>
      <top/>
      <bottom/>
      <diagonal/>
    </border>
    <border>
      <left/>
      <right/>
      <top style="thin">
        <color indexed="17"/>
      </top>
      <bottom style="double">
        <color indexed="17"/>
      </bottom>
      <diagonal/>
    </border>
    <border>
      <left/>
      <right style="double">
        <color indexed="17"/>
      </right>
      <top style="thin">
        <color indexed="17"/>
      </top>
      <bottom style="double">
        <color indexed="17"/>
      </bottom>
      <diagonal/>
    </border>
    <border>
      <left style="double">
        <color indexed="17"/>
      </left>
      <right/>
      <top style="thin">
        <color indexed="64"/>
      </top>
      <bottom/>
      <diagonal/>
    </border>
    <border>
      <left/>
      <right/>
      <top style="double">
        <color indexed="64"/>
      </top>
      <bottom/>
      <diagonal/>
    </border>
    <border>
      <left style="hair">
        <color indexed="64"/>
      </left>
      <right style="dotted">
        <color indexed="64"/>
      </right>
      <top style="double">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double">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double">
        <color indexed="12"/>
      </left>
      <right/>
      <top style="double">
        <color indexed="12"/>
      </top>
      <bottom/>
      <diagonal/>
    </border>
    <border>
      <left/>
      <right/>
      <top style="double">
        <color indexed="12"/>
      </top>
      <bottom/>
      <diagonal/>
    </border>
    <border>
      <left style="double">
        <color indexed="12"/>
      </left>
      <right/>
      <top/>
      <bottom style="double">
        <color indexed="12"/>
      </bottom>
      <diagonal/>
    </border>
    <border>
      <left/>
      <right/>
      <top/>
      <bottom style="double">
        <color indexed="12"/>
      </bottom>
      <diagonal/>
    </border>
    <border>
      <left/>
      <right style="double">
        <color indexed="12"/>
      </right>
      <top style="double">
        <color indexed="12"/>
      </top>
      <bottom/>
      <diagonal/>
    </border>
    <border>
      <left/>
      <right style="double">
        <color indexed="12"/>
      </right>
      <top/>
      <bottom style="double">
        <color indexed="12"/>
      </bottom>
      <diagonal/>
    </border>
    <border>
      <left style="dotted">
        <color indexed="64"/>
      </left>
      <right/>
      <top style="double">
        <color indexed="64"/>
      </top>
      <bottom/>
      <diagonal/>
    </border>
    <border>
      <left/>
      <right style="dotted">
        <color indexed="64"/>
      </right>
      <top style="double">
        <color indexed="64"/>
      </top>
      <bottom/>
      <diagonal/>
    </border>
    <border>
      <left style="double">
        <color indexed="64"/>
      </left>
      <right style="dotted">
        <color indexed="64"/>
      </right>
      <top style="double">
        <color indexed="64"/>
      </top>
      <bottom/>
      <diagonal/>
    </border>
    <border>
      <left style="double">
        <color indexed="17"/>
      </left>
      <right/>
      <top style="double">
        <color indexed="17"/>
      </top>
      <bottom/>
      <diagonal/>
    </border>
    <border>
      <left/>
      <right/>
      <top style="double">
        <color indexed="17"/>
      </top>
      <bottom/>
      <diagonal/>
    </border>
    <border>
      <left/>
      <right style="hair">
        <color indexed="64"/>
      </right>
      <top style="double">
        <color indexed="17"/>
      </top>
      <bottom/>
      <diagonal/>
    </border>
    <border>
      <left/>
      <right style="double">
        <color indexed="17"/>
      </right>
      <top style="double">
        <color indexed="17"/>
      </top>
      <bottom/>
      <diagonal/>
    </border>
    <border>
      <left/>
      <right style="double">
        <color indexed="17"/>
      </right>
      <top/>
      <bottom/>
      <diagonal/>
    </border>
    <border>
      <left style="hair">
        <color indexed="64"/>
      </left>
      <right/>
      <top style="double">
        <color indexed="17"/>
      </top>
      <bottom/>
      <diagonal/>
    </border>
    <border>
      <left style="hair">
        <color indexed="64"/>
      </left>
      <right/>
      <top/>
      <bottom/>
      <diagonal/>
    </border>
    <border>
      <left style="double">
        <color indexed="17"/>
      </left>
      <right/>
      <top/>
      <bottom style="double">
        <color indexed="17"/>
      </bottom>
      <diagonal/>
    </border>
    <border>
      <left/>
      <right/>
      <top/>
      <bottom style="double">
        <color indexed="17"/>
      </bottom>
      <diagonal/>
    </border>
    <border>
      <left style="thin">
        <color indexed="17"/>
      </left>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style="thin">
        <color indexed="17"/>
      </top>
      <bottom style="double">
        <color indexed="17"/>
      </bottom>
      <diagonal/>
    </border>
    <border>
      <left/>
      <right style="thin">
        <color indexed="17"/>
      </right>
      <top style="thin">
        <color indexed="17"/>
      </top>
      <bottom style="double">
        <color indexed="17"/>
      </bottom>
      <diagonal/>
    </border>
    <border>
      <left/>
      <right style="double">
        <color indexed="17"/>
      </right>
      <top style="thin">
        <color indexed="17"/>
      </top>
      <bottom style="thin">
        <color indexed="17"/>
      </bottom>
      <diagonal/>
    </border>
    <border diagonalDown="1">
      <left style="thin">
        <color indexed="10"/>
      </left>
      <right style="thin">
        <color indexed="10"/>
      </right>
      <top style="thin">
        <color indexed="10"/>
      </top>
      <bottom style="double">
        <color indexed="10"/>
      </bottom>
      <diagonal style="thin">
        <color indexed="10"/>
      </diagonal>
    </border>
    <border>
      <left style="double">
        <color indexed="10"/>
      </left>
      <right style="thin">
        <color indexed="10"/>
      </right>
      <top style="thin">
        <color indexed="10"/>
      </top>
      <bottom/>
      <diagonal/>
    </border>
    <border>
      <left style="hair">
        <color indexed="64"/>
      </left>
      <right style="dotted">
        <color indexed="64"/>
      </right>
      <top style="thin">
        <color indexed="64"/>
      </top>
      <bottom/>
      <diagonal/>
    </border>
    <border>
      <left style="hair">
        <color indexed="64"/>
      </left>
      <right style="dotted">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right style="double">
        <color indexed="64"/>
      </right>
      <top style="double">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dashed">
        <color indexed="64"/>
      </left>
      <right/>
      <top style="double">
        <color indexed="64"/>
      </top>
      <bottom/>
      <diagonal/>
    </border>
    <border>
      <left style="dashed">
        <color indexed="64"/>
      </left>
      <right/>
      <top/>
      <bottom/>
      <diagonal/>
    </border>
    <border>
      <left style="dashed">
        <color indexed="64"/>
      </left>
      <right/>
      <top/>
      <bottom style="double">
        <color indexed="64"/>
      </bottom>
      <diagonal/>
    </border>
    <border>
      <left/>
      <right style="dashed">
        <color indexed="64"/>
      </right>
      <top style="double">
        <color indexed="64"/>
      </top>
      <bottom/>
      <diagonal/>
    </border>
    <border>
      <left/>
      <right style="dashed">
        <color indexed="64"/>
      </right>
      <top/>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right style="double">
        <color indexed="64"/>
      </right>
      <top style="thin">
        <color indexed="64"/>
      </top>
      <bottom style="thin">
        <color indexed="64"/>
      </bottom>
      <diagonal/>
    </border>
    <border>
      <left style="dotted">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dotted">
        <color indexed="64"/>
      </top>
      <bottom/>
      <diagonal/>
    </border>
    <border>
      <left/>
      <right style="double">
        <color indexed="64"/>
      </right>
      <top style="dotted">
        <color indexed="64"/>
      </top>
      <bottom/>
      <diagonal/>
    </border>
    <border>
      <left style="double">
        <color indexed="64"/>
      </left>
      <right/>
      <top style="dotted">
        <color indexed="64"/>
      </top>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style="thin">
        <color indexed="64"/>
      </left>
      <right/>
      <top style="dotted">
        <color indexed="64"/>
      </top>
      <bottom/>
      <diagonal/>
    </border>
    <border>
      <left style="double">
        <color indexed="10"/>
      </left>
      <right/>
      <top style="double">
        <color indexed="10"/>
      </top>
      <bottom style="thin">
        <color indexed="10"/>
      </bottom>
      <diagonal/>
    </border>
    <border>
      <left style="double">
        <color indexed="10"/>
      </left>
      <right/>
      <top style="thin">
        <color indexed="10"/>
      </top>
      <bottom/>
      <diagonal/>
    </border>
    <border>
      <left/>
      <right/>
      <top style="thin">
        <color indexed="10"/>
      </top>
      <bottom/>
      <diagonal/>
    </border>
    <border>
      <left/>
      <right style="double">
        <color indexed="10"/>
      </right>
      <top style="thin">
        <color indexed="10"/>
      </top>
      <bottom/>
      <diagonal/>
    </border>
    <border>
      <left style="double">
        <color indexed="10"/>
      </left>
      <right/>
      <top style="thin">
        <color indexed="10"/>
      </top>
      <bottom style="thin">
        <color indexed="10"/>
      </bottom>
      <diagonal/>
    </border>
    <border>
      <left style="mediumDashed">
        <color indexed="10"/>
      </left>
      <right/>
      <top style="thick">
        <color indexed="10"/>
      </top>
      <bottom/>
      <diagonal/>
    </border>
    <border>
      <left style="double">
        <color indexed="10"/>
      </left>
      <right/>
      <top style="thin">
        <color indexed="10"/>
      </top>
      <bottom style="double">
        <color indexed="10"/>
      </bottom>
      <diagonal/>
    </border>
    <border>
      <left style="dotted">
        <color indexed="10"/>
      </left>
      <right/>
      <top style="thin">
        <color indexed="64"/>
      </top>
      <bottom/>
      <diagonal/>
    </border>
    <border>
      <left style="dotted">
        <color indexed="10"/>
      </left>
      <right/>
      <top style="thin">
        <color indexed="64"/>
      </top>
      <bottom style="dotted">
        <color indexed="10"/>
      </bottom>
      <diagonal/>
    </border>
    <border>
      <left/>
      <right style="dotted">
        <color indexed="10"/>
      </right>
      <top style="thin">
        <color indexed="64"/>
      </top>
      <bottom style="dotted">
        <color indexed="10"/>
      </bottom>
      <diagonal/>
    </border>
    <border>
      <left/>
      <right style="dotted">
        <color indexed="10"/>
      </right>
      <top style="thin">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uble">
        <color rgb="FF0070C0"/>
      </right>
      <top style="double">
        <color rgb="FF0070C0"/>
      </top>
      <bottom style="double">
        <color rgb="FF0070C0"/>
      </bottom>
      <diagonal/>
    </border>
    <border>
      <left style="dashed">
        <color rgb="FF0070C0"/>
      </left>
      <right style="double">
        <color rgb="FF0070C0"/>
      </right>
      <top style="double">
        <color rgb="FF0070C0"/>
      </top>
      <bottom style="dashed">
        <color rgb="FF0070C0"/>
      </bottom>
      <diagonal/>
    </border>
    <border>
      <left style="dashed">
        <color rgb="FF0070C0"/>
      </left>
      <right style="dashed">
        <color rgb="FF0070C0"/>
      </right>
      <top style="double">
        <color rgb="FF0070C0"/>
      </top>
      <bottom style="dashed">
        <color rgb="FF0070C0"/>
      </bottom>
      <diagonal/>
    </border>
    <border>
      <left style="dashed">
        <color rgb="FF0070C0"/>
      </left>
      <right style="dashed">
        <color rgb="FF0070C0"/>
      </right>
      <top style="dashed">
        <color rgb="FF0070C0"/>
      </top>
      <bottom style="double">
        <color rgb="FF0070C0"/>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style="double">
        <color rgb="FF0070C0"/>
      </left>
      <right style="dashed">
        <color rgb="FF0070C0"/>
      </right>
      <top style="double">
        <color rgb="FF0070C0"/>
      </top>
      <bottom style="dashed">
        <color rgb="FF0070C0"/>
      </bottom>
      <diagonal/>
    </border>
    <border>
      <left style="double">
        <color rgb="FF0070C0"/>
      </left>
      <right style="dashed">
        <color rgb="FF0070C0"/>
      </right>
      <top style="dashed">
        <color rgb="FF0070C0"/>
      </top>
      <bottom style="double">
        <color rgb="FF0070C0"/>
      </bottom>
      <diagonal/>
    </border>
    <border>
      <left style="thin">
        <color rgb="FFFF0000"/>
      </left>
      <right style="thin">
        <color rgb="FFFF0000"/>
      </right>
      <top style="thin">
        <color rgb="FFFF0000"/>
      </top>
      <bottom style="thin">
        <color rgb="FFFF0000"/>
      </bottom>
      <diagonal/>
    </border>
    <border>
      <left style="dashed">
        <color rgb="FF0070C0"/>
      </left>
      <right style="dashed">
        <color rgb="FF0070C0"/>
      </right>
      <top style="dashed">
        <color rgb="FF0070C0"/>
      </top>
      <bottom/>
      <diagonal/>
    </border>
    <border>
      <left style="dashed">
        <color rgb="FF0070C0"/>
      </left>
      <right style="double">
        <color rgb="FF0070C0"/>
      </right>
      <top style="dashed">
        <color rgb="FF0070C0"/>
      </top>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hair">
        <color indexed="64"/>
      </right>
      <top/>
      <bottom style="thin">
        <color indexed="64"/>
      </bottom>
      <diagonal/>
    </border>
    <border>
      <left style="dotted">
        <color indexed="10"/>
      </left>
      <right/>
      <top style="dotted">
        <color indexed="10"/>
      </top>
      <bottom style="dotted">
        <color indexed="10"/>
      </bottom>
      <diagonal/>
    </border>
    <border>
      <left/>
      <right style="dotted">
        <color indexed="10"/>
      </right>
      <top style="dotted">
        <color indexed="10"/>
      </top>
      <bottom style="dotted">
        <color indexed="10"/>
      </bottom>
      <diagonal/>
    </border>
    <border>
      <left style="thick">
        <color indexed="64"/>
      </left>
      <right style="thick">
        <color indexed="64"/>
      </right>
      <top style="thick">
        <color indexed="64"/>
      </top>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ck">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right style="hair">
        <color indexed="64"/>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style="thin">
        <color indexed="64"/>
      </left>
      <right style="hair">
        <color indexed="64"/>
      </right>
      <top style="thin">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11">
    <xf numFmtId="0" fontId="0" fillId="0" borderId="0" xfId="0">
      <alignment vertical="center"/>
    </xf>
    <xf numFmtId="0" fontId="29" fillId="2" borderId="0" xfId="0" applyFont="1" applyFill="1" applyBorder="1" applyAlignment="1" applyProtection="1">
      <alignment horizontal="center" vertical="center"/>
      <protection locked="0"/>
    </xf>
    <xf numFmtId="38" fontId="3" fillId="0" borderId="0" xfId="1" applyFont="1" applyFill="1" applyProtection="1">
      <alignment vertical="center"/>
    </xf>
    <xf numFmtId="0" fontId="3" fillId="0" borderId="0" xfId="0" applyFont="1" applyFill="1" applyProtection="1">
      <alignment vertical="center"/>
    </xf>
    <xf numFmtId="38" fontId="3" fillId="0" borderId="0" xfId="1" applyFont="1" applyFill="1" applyBorder="1" applyProtection="1">
      <alignment vertical="center"/>
    </xf>
    <xf numFmtId="0" fontId="5" fillId="0" borderId="0" xfId="0" applyFont="1" applyFill="1" applyAlignment="1" applyProtection="1">
      <alignment horizontal="center" vertical="center"/>
    </xf>
    <xf numFmtId="0" fontId="3" fillId="0" borderId="1" xfId="0" applyFont="1" applyFill="1" applyBorder="1" applyProtection="1">
      <alignment vertical="center"/>
    </xf>
    <xf numFmtId="38" fontId="3" fillId="0" borderId="1" xfId="1" applyFont="1" applyFill="1" applyBorder="1" applyProtection="1">
      <alignment vertical="center"/>
    </xf>
    <xf numFmtId="0" fontId="3" fillId="0" borderId="2" xfId="0" applyFont="1" applyFill="1" applyBorder="1" applyProtection="1">
      <alignment vertical="center"/>
    </xf>
    <xf numFmtId="0" fontId="3" fillId="0" borderId="0" xfId="0" applyFont="1" applyFill="1" applyAlignment="1" applyProtection="1">
      <alignment horizontal="center" vertical="center"/>
    </xf>
    <xf numFmtId="0" fontId="10" fillId="0" borderId="0" xfId="0" applyFont="1" applyFill="1" applyProtection="1">
      <alignment vertical="center"/>
    </xf>
    <xf numFmtId="0" fontId="9" fillId="0" borderId="0" xfId="0" applyFont="1" applyFill="1" applyAlignment="1" applyProtection="1">
      <alignment horizontal="center" vertical="center"/>
    </xf>
    <xf numFmtId="0" fontId="3" fillId="0" borderId="0" xfId="0" applyFont="1" applyFill="1" applyBorder="1" applyProtection="1">
      <alignment vertical="center"/>
    </xf>
    <xf numFmtId="0" fontId="3" fillId="0" borderId="3" xfId="0" applyFont="1" applyFill="1" applyBorder="1" applyProtection="1">
      <alignment vertical="center"/>
    </xf>
    <xf numFmtId="0" fontId="5" fillId="0" borderId="0" xfId="0" applyFont="1" applyFill="1" applyAlignment="1" applyProtection="1">
      <alignment vertical="center"/>
    </xf>
    <xf numFmtId="0" fontId="5" fillId="0" borderId="4" xfId="0" applyFont="1" applyFill="1" applyBorder="1" applyAlignment="1" applyProtection="1">
      <alignment vertical="center"/>
    </xf>
    <xf numFmtId="38" fontId="5" fillId="0" borderId="0" xfId="1" applyFont="1" applyFill="1" applyBorder="1" applyAlignment="1" applyProtection="1">
      <alignment horizontal="left" vertical="center"/>
    </xf>
    <xf numFmtId="0" fontId="14" fillId="0" borderId="0" xfId="0" applyFont="1" applyFill="1" applyProtection="1">
      <alignment vertical="center"/>
    </xf>
    <xf numFmtId="0" fontId="3" fillId="0" borderId="0" xfId="0" applyFont="1" applyFill="1" applyAlignment="1" applyProtection="1">
      <alignment vertical="center"/>
    </xf>
    <xf numFmtId="0" fontId="3" fillId="0" borderId="5" xfId="0" applyFont="1" applyFill="1" applyBorder="1" applyProtection="1">
      <alignment vertical="center"/>
    </xf>
    <xf numFmtId="38" fontId="19" fillId="0" borderId="6" xfId="1"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38" fontId="3" fillId="0" borderId="8" xfId="1" applyFont="1" applyFill="1" applyBorder="1" applyProtection="1">
      <alignment vertical="center"/>
    </xf>
    <xf numFmtId="38" fontId="15" fillId="0" borderId="9" xfId="1" applyFont="1" applyFill="1" applyBorder="1" applyProtection="1">
      <alignment vertical="center"/>
    </xf>
    <xf numFmtId="38" fontId="3" fillId="0" borderId="10" xfId="1" applyFont="1" applyFill="1" applyBorder="1" applyProtection="1">
      <alignment vertical="center"/>
    </xf>
    <xf numFmtId="38" fontId="15" fillId="0" borderId="11" xfId="1" applyFont="1" applyFill="1" applyBorder="1" applyProtection="1">
      <alignment vertical="center"/>
    </xf>
    <xf numFmtId="38" fontId="15" fillId="0" borderId="0" xfId="1" applyFont="1" applyFill="1" applyBorder="1" applyProtection="1">
      <alignment vertical="center"/>
    </xf>
    <xf numFmtId="0" fontId="3" fillId="0" borderId="12" xfId="0" applyFont="1" applyFill="1" applyBorder="1" applyAlignment="1" applyProtection="1">
      <alignment horizontal="center" vertical="center"/>
    </xf>
    <xf numFmtId="38" fontId="3" fillId="0" borderId="13" xfId="1" applyFont="1" applyFill="1" applyBorder="1" applyProtection="1">
      <alignment vertical="center"/>
    </xf>
    <xf numFmtId="38" fontId="15" fillId="0" borderId="14" xfId="1" applyFont="1" applyFill="1" applyBorder="1" applyProtection="1">
      <alignment vertical="center"/>
    </xf>
    <xf numFmtId="38" fontId="3" fillId="0" borderId="15" xfId="1" applyFont="1" applyFill="1" applyBorder="1" applyProtection="1">
      <alignment vertical="center"/>
    </xf>
    <xf numFmtId="38" fontId="15" fillId="0" borderId="16" xfId="1" applyFont="1" applyFill="1" applyBorder="1" applyProtection="1">
      <alignment vertical="center"/>
    </xf>
    <xf numFmtId="38" fontId="3" fillId="0" borderId="17" xfId="1" applyFont="1" applyFill="1" applyBorder="1" applyProtection="1">
      <alignment vertical="center"/>
    </xf>
    <xf numFmtId="179" fontId="15" fillId="0" borderId="17" xfId="1" applyNumberFormat="1" applyFont="1" applyFill="1" applyBorder="1" applyProtection="1">
      <alignment vertical="center"/>
    </xf>
    <xf numFmtId="38" fontId="3" fillId="3" borderId="18" xfId="1" applyFont="1" applyFill="1" applyBorder="1" applyProtection="1">
      <alignment vertical="center"/>
    </xf>
    <xf numFmtId="38" fontId="18" fillId="3" borderId="19" xfId="1" applyFont="1" applyFill="1" applyBorder="1" applyAlignment="1" applyProtection="1">
      <alignment horizontal="center" vertical="center"/>
    </xf>
    <xf numFmtId="179" fontId="18" fillId="3" borderId="19" xfId="1" applyNumberFormat="1" applyFont="1" applyFill="1" applyBorder="1" applyProtection="1">
      <alignment vertical="center"/>
    </xf>
    <xf numFmtId="0" fontId="3" fillId="0" borderId="20" xfId="0" applyFont="1" applyFill="1" applyBorder="1" applyProtection="1">
      <alignment vertical="center"/>
    </xf>
    <xf numFmtId="0" fontId="3" fillId="0" borderId="21" xfId="0" applyFont="1" applyFill="1" applyBorder="1" applyProtection="1">
      <alignment vertical="center"/>
    </xf>
    <xf numFmtId="0" fontId="3" fillId="0" borderId="21" xfId="0" applyFont="1" applyFill="1" applyBorder="1" applyAlignment="1" applyProtection="1">
      <alignment horizontal="center" vertical="center"/>
    </xf>
    <xf numFmtId="0" fontId="4" fillId="0" borderId="21" xfId="0" applyFont="1" applyFill="1" applyBorder="1" applyAlignment="1" applyProtection="1">
      <alignment vertical="center"/>
    </xf>
    <xf numFmtId="0" fontId="10" fillId="0" borderId="21" xfId="0" applyFont="1" applyFill="1" applyBorder="1" applyProtection="1">
      <alignment vertical="center"/>
    </xf>
    <xf numFmtId="0" fontId="16" fillId="0" borderId="0" xfId="0" applyFont="1" applyFill="1" applyBorder="1" applyProtection="1">
      <alignment vertical="center"/>
    </xf>
    <xf numFmtId="0" fontId="26" fillId="0" borderId="0" xfId="0" applyFont="1" applyFill="1" applyBorder="1" applyAlignment="1" applyProtection="1">
      <alignment horizontal="center" vertical="center"/>
    </xf>
    <xf numFmtId="38" fontId="11" fillId="0" borderId="17" xfId="1" applyFont="1" applyFill="1" applyBorder="1" applyProtection="1">
      <alignment vertical="center"/>
    </xf>
    <xf numFmtId="38" fontId="15" fillId="0" borderId="17" xfId="1" applyFont="1" applyFill="1" applyBorder="1" applyProtection="1">
      <alignment vertical="center"/>
    </xf>
    <xf numFmtId="38" fontId="18" fillId="3" borderId="19" xfId="1" applyFont="1" applyFill="1" applyBorder="1" applyProtection="1">
      <alignment vertical="center"/>
    </xf>
    <xf numFmtId="40" fontId="15" fillId="0" borderId="19" xfId="1" applyNumberFormat="1" applyFont="1" applyFill="1" applyBorder="1" applyProtection="1">
      <alignment vertical="center"/>
    </xf>
    <xf numFmtId="38" fontId="3" fillId="0" borderId="22" xfId="1" applyFont="1" applyFill="1" applyBorder="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177" fontId="15" fillId="0" borderId="12" xfId="0" applyNumberFormat="1" applyFont="1" applyFill="1" applyBorder="1" applyAlignment="1" applyProtection="1">
      <alignment vertical="center"/>
    </xf>
    <xf numFmtId="0" fontId="3" fillId="0" borderId="12" xfId="0" applyFont="1" applyFill="1" applyBorder="1" applyProtection="1">
      <alignment vertical="center"/>
    </xf>
    <xf numFmtId="0" fontId="3" fillId="0" borderId="4" xfId="0" applyFont="1" applyFill="1" applyBorder="1" applyProtection="1">
      <alignment vertical="center"/>
    </xf>
    <xf numFmtId="38" fontId="15" fillId="0" borderId="19" xfId="1" applyFont="1" applyFill="1" applyBorder="1" applyProtection="1">
      <alignment vertical="center"/>
    </xf>
    <xf numFmtId="0" fontId="3" fillId="0" borderId="0" xfId="0" applyFont="1" applyFill="1" applyBorder="1" applyAlignment="1" applyProtection="1">
      <alignment vertical="center"/>
    </xf>
    <xf numFmtId="0" fontId="3" fillId="0" borderId="23" xfId="0" applyFont="1" applyFill="1" applyBorder="1" applyProtection="1">
      <alignment vertical="center"/>
    </xf>
    <xf numFmtId="38" fontId="25" fillId="0" borderId="0" xfId="1" applyFont="1" applyFill="1" applyBorder="1" applyProtection="1">
      <alignment vertical="center"/>
    </xf>
    <xf numFmtId="0" fontId="3" fillId="0" borderId="24"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38" fontId="3" fillId="0" borderId="12" xfId="1" applyFont="1" applyFill="1" applyBorder="1" applyAlignment="1" applyProtection="1">
      <alignment horizontal="center" vertical="center"/>
    </xf>
    <xf numFmtId="0" fontId="3" fillId="0" borderId="12" xfId="0" applyFont="1" applyFill="1" applyBorder="1" applyAlignment="1" applyProtection="1">
      <alignment vertical="center"/>
    </xf>
    <xf numFmtId="0" fontId="10" fillId="0" borderId="12" xfId="0" applyFont="1" applyFill="1" applyBorder="1" applyProtection="1">
      <alignment vertical="center"/>
    </xf>
    <xf numFmtId="3" fontId="3" fillId="0" borderId="12" xfId="0" applyNumberFormat="1" applyFont="1" applyFill="1" applyBorder="1" applyAlignment="1" applyProtection="1">
      <alignment horizontal="center" vertical="center"/>
    </xf>
    <xf numFmtId="0" fontId="3" fillId="0" borderId="25" xfId="0" applyFont="1" applyFill="1" applyBorder="1" applyProtection="1">
      <alignment vertical="center"/>
    </xf>
    <xf numFmtId="38" fontId="3" fillId="0" borderId="26" xfId="1" applyFont="1" applyFill="1" applyBorder="1" applyProtection="1">
      <alignment vertical="center"/>
    </xf>
    <xf numFmtId="38" fontId="15" fillId="0" borderId="27" xfId="1" applyFont="1" applyFill="1" applyBorder="1" applyProtection="1">
      <alignment vertical="center"/>
    </xf>
    <xf numFmtId="38" fontId="3" fillId="3" borderId="17" xfId="1" applyFont="1" applyFill="1" applyBorder="1" applyProtection="1">
      <alignment vertical="center"/>
    </xf>
    <xf numFmtId="0" fontId="3" fillId="0" borderId="0" xfId="0" applyFont="1" applyFill="1" applyAlignment="1" applyProtection="1">
      <alignment horizontal="left" vertical="center"/>
    </xf>
    <xf numFmtId="38" fontId="3" fillId="0" borderId="0" xfId="1" applyFont="1" applyFill="1" applyAlignment="1" applyProtection="1">
      <alignment horizontal="center" vertical="center"/>
    </xf>
    <xf numFmtId="3" fontId="3" fillId="0" borderId="0" xfId="0" applyNumberFormat="1" applyFont="1" applyFill="1" applyAlignment="1" applyProtection="1">
      <alignment horizontal="center" vertical="center"/>
    </xf>
    <xf numFmtId="38" fontId="20" fillId="0" borderId="0" xfId="1"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180" fontId="21" fillId="0" borderId="0" xfId="1" applyNumberFormat="1" applyFont="1" applyFill="1" applyBorder="1" applyAlignment="1" applyProtection="1">
      <alignment horizontal="center" vertical="center" wrapText="1"/>
    </xf>
    <xf numFmtId="38" fontId="3" fillId="0" borderId="0" xfId="1" applyFont="1" applyFill="1" applyBorder="1" applyAlignment="1" applyProtection="1">
      <alignment horizontal="center" vertical="center"/>
    </xf>
    <xf numFmtId="0" fontId="13" fillId="0" borderId="0" xfId="0" applyFont="1" applyFill="1" applyBorder="1" applyProtection="1">
      <alignment vertical="center"/>
    </xf>
    <xf numFmtId="0" fontId="4" fillId="0" borderId="0" xfId="0" applyFont="1" applyFill="1" applyBorder="1" applyAlignment="1" applyProtection="1">
      <alignment vertical="center"/>
    </xf>
    <xf numFmtId="0" fontId="3" fillId="0" borderId="28" xfId="0" applyFont="1" applyFill="1" applyBorder="1" applyAlignment="1" applyProtection="1">
      <alignment horizontal="center" vertical="center"/>
    </xf>
    <xf numFmtId="38" fontId="15" fillId="0" borderId="29" xfId="0" applyNumberFormat="1" applyFont="1" applyFill="1" applyBorder="1" applyAlignment="1" applyProtection="1">
      <alignment vertical="center"/>
    </xf>
    <xf numFmtId="0" fontId="3" fillId="0" borderId="30" xfId="0" applyFont="1" applyFill="1" applyBorder="1" applyAlignment="1" applyProtection="1">
      <alignment horizontal="center" vertical="center"/>
    </xf>
    <xf numFmtId="38" fontId="3" fillId="0" borderId="28" xfId="1" applyFont="1" applyFill="1" applyBorder="1" applyProtection="1">
      <alignment vertical="center"/>
    </xf>
    <xf numFmtId="38" fontId="15" fillId="0" borderId="31" xfId="1" applyFont="1" applyFill="1" applyBorder="1" applyProtection="1">
      <alignment vertical="center"/>
    </xf>
    <xf numFmtId="38" fontId="3" fillId="0" borderId="31" xfId="1" applyFont="1" applyFill="1" applyBorder="1" applyProtection="1">
      <alignment vertical="center"/>
    </xf>
    <xf numFmtId="38" fontId="8" fillId="0" borderId="0" xfId="1" applyFont="1" applyFill="1" applyBorder="1" applyProtection="1">
      <alignment vertical="center"/>
    </xf>
    <xf numFmtId="179" fontId="15" fillId="0" borderId="0" xfId="1" applyNumberFormat="1" applyFont="1" applyFill="1" applyBorder="1" applyProtection="1">
      <alignment vertical="center"/>
    </xf>
    <xf numFmtId="40" fontId="15" fillId="0" borderId="0" xfId="0" applyNumberFormat="1" applyFont="1" applyFill="1" applyBorder="1" applyAlignment="1" applyProtection="1">
      <alignment horizontal="center" vertical="center"/>
    </xf>
    <xf numFmtId="3" fontId="10" fillId="0" borderId="0" xfId="0" applyNumberFormat="1" applyFont="1" applyFill="1" applyBorder="1" applyAlignment="1" applyProtection="1">
      <alignment horizontal="center" vertical="center"/>
    </xf>
    <xf numFmtId="38" fontId="15" fillId="0" borderId="31" xfId="0" applyNumberFormat="1" applyFont="1" applyFill="1" applyBorder="1" applyAlignment="1" applyProtection="1">
      <alignment vertical="center"/>
    </xf>
    <xf numFmtId="0" fontId="3" fillId="0" borderId="14" xfId="0" applyFont="1" applyFill="1" applyBorder="1" applyAlignment="1" applyProtection="1">
      <alignment horizontal="center" vertical="center"/>
    </xf>
    <xf numFmtId="40" fontId="7" fillId="0" borderId="0" xfId="1" applyNumberFormat="1" applyFont="1" applyFill="1" applyBorder="1" applyProtection="1">
      <alignment vertical="center"/>
    </xf>
    <xf numFmtId="38" fontId="7" fillId="0" borderId="0" xfId="1" applyFont="1" applyFill="1" applyBorder="1" applyProtection="1">
      <alignment vertical="center"/>
    </xf>
    <xf numFmtId="0" fontId="13" fillId="0" borderId="0" xfId="0" applyFont="1" applyFill="1" applyBorder="1" applyAlignment="1" applyProtection="1">
      <alignment horizontal="center" vertical="center"/>
    </xf>
    <xf numFmtId="0" fontId="13" fillId="0" borderId="0" xfId="0" applyFont="1" applyFill="1" applyBorder="1" applyAlignment="1" applyProtection="1">
      <alignment vertical="center"/>
    </xf>
    <xf numFmtId="0" fontId="5" fillId="0" borderId="0" xfId="0" applyFont="1" applyFill="1" applyBorder="1" applyProtection="1">
      <alignment vertical="center"/>
    </xf>
    <xf numFmtId="0" fontId="10" fillId="0" borderId="0" xfId="0" applyFont="1" applyFill="1" applyBorder="1" applyProtection="1">
      <alignment vertical="center"/>
    </xf>
    <xf numFmtId="38" fontId="3" fillId="0" borderId="0" xfId="1" applyFont="1" applyFill="1" applyBorder="1" applyAlignment="1" applyProtection="1">
      <alignment horizontal="right" vertical="center"/>
    </xf>
    <xf numFmtId="0" fontId="13" fillId="0" borderId="15" xfId="0" applyFont="1" applyFill="1" applyBorder="1" applyAlignment="1" applyProtection="1">
      <alignment horizontal="center" vertical="center"/>
    </xf>
    <xf numFmtId="3" fontId="3" fillId="0" borderId="0" xfId="0" applyNumberFormat="1" applyFont="1" applyFill="1" applyBorder="1" applyProtection="1">
      <alignment vertical="center"/>
    </xf>
    <xf numFmtId="38" fontId="9" fillId="0" borderId="15" xfId="1" applyFont="1" applyFill="1" applyBorder="1" applyProtection="1">
      <alignment vertical="center"/>
    </xf>
    <xf numFmtId="38" fontId="15" fillId="0" borderId="32" xfId="1" applyFont="1" applyFill="1" applyBorder="1" applyProtection="1">
      <alignment vertical="center"/>
    </xf>
    <xf numFmtId="38" fontId="3" fillId="0" borderId="14" xfId="1" applyFont="1" applyFill="1" applyBorder="1" applyProtection="1">
      <alignment vertical="center"/>
    </xf>
    <xf numFmtId="0" fontId="6" fillId="0" borderId="0" xfId="0"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5" fillId="0" borderId="0" xfId="0" applyFont="1" applyFill="1" applyProtection="1">
      <alignment vertical="center"/>
    </xf>
    <xf numFmtId="38" fontId="3" fillId="0" borderId="0" xfId="1" applyFont="1" applyFill="1" applyAlignment="1" applyProtection="1">
      <alignment horizontal="right" vertical="center"/>
    </xf>
    <xf numFmtId="38" fontId="15" fillId="0" borderId="31" xfId="1" applyFont="1" applyFill="1" applyBorder="1" applyAlignment="1" applyProtection="1">
      <alignment vertical="center"/>
    </xf>
    <xf numFmtId="38" fontId="3" fillId="0" borderId="5" xfId="1" applyFont="1" applyFill="1" applyBorder="1" applyProtection="1">
      <alignment vertical="center"/>
    </xf>
    <xf numFmtId="0" fontId="6"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3" fontId="12" fillId="0" borderId="0" xfId="0" applyNumberFormat="1" applyFont="1" applyFill="1" applyAlignment="1" applyProtection="1">
      <alignment horizontal="right" vertical="center"/>
    </xf>
    <xf numFmtId="0" fontId="5" fillId="0" borderId="33" xfId="0" applyFont="1" applyFill="1" applyBorder="1" applyAlignment="1" applyProtection="1">
      <alignment horizontal="left" vertical="center"/>
    </xf>
    <xf numFmtId="3" fontId="3" fillId="0" borderId="0" xfId="0" applyNumberFormat="1" applyFont="1" applyFill="1" applyBorder="1" applyAlignment="1" applyProtection="1">
      <alignment horizontal="left" vertical="center"/>
    </xf>
    <xf numFmtId="0" fontId="9" fillId="0" borderId="0" xfId="0" applyFont="1" applyFill="1" applyProtection="1">
      <alignment vertical="center"/>
    </xf>
    <xf numFmtId="178" fontId="3" fillId="0" borderId="0" xfId="1" applyNumberFormat="1" applyFont="1" applyFill="1" applyAlignment="1" applyProtection="1">
      <alignment horizontal="center" vertical="center"/>
    </xf>
    <xf numFmtId="3" fontId="10" fillId="0" borderId="0" xfId="0" applyNumberFormat="1" applyFont="1" applyFill="1" applyAlignment="1" applyProtection="1">
      <alignment horizontal="center" vertical="center"/>
    </xf>
    <xf numFmtId="0" fontId="8" fillId="0" borderId="0" xfId="0" applyFont="1" applyFill="1" applyProtection="1">
      <alignment vertical="center"/>
    </xf>
    <xf numFmtId="0" fontId="19" fillId="0" borderId="5" xfId="0" applyFont="1" applyFill="1" applyBorder="1" applyAlignment="1" applyProtection="1">
      <alignment horizontal="center" vertical="center"/>
    </xf>
    <xf numFmtId="179" fontId="24" fillId="3" borderId="19" xfId="1" applyNumberFormat="1" applyFont="1" applyFill="1" applyBorder="1" applyProtection="1">
      <alignment vertical="center"/>
    </xf>
    <xf numFmtId="3" fontId="5" fillId="0" borderId="0" xfId="0" applyNumberFormat="1" applyFont="1" applyFill="1" applyBorder="1" applyAlignment="1" applyProtection="1">
      <alignment vertical="center"/>
    </xf>
    <xf numFmtId="3" fontId="10" fillId="0" borderId="0" xfId="0" applyNumberFormat="1" applyFont="1" applyFill="1" applyBorder="1" applyAlignment="1" applyProtection="1">
      <alignment vertical="center"/>
    </xf>
    <xf numFmtId="0" fontId="3" fillId="0" borderId="34" xfId="0" applyFont="1" applyFill="1" applyBorder="1" applyProtection="1">
      <alignment vertical="center"/>
    </xf>
    <xf numFmtId="38" fontId="3" fillId="0" borderId="35" xfId="1" applyFont="1" applyFill="1" applyBorder="1" applyProtection="1">
      <alignment vertical="center"/>
    </xf>
    <xf numFmtId="0" fontId="3" fillId="0" borderId="35" xfId="0" applyFont="1" applyFill="1" applyBorder="1" applyProtection="1">
      <alignment vertical="center"/>
    </xf>
    <xf numFmtId="0" fontId="3" fillId="0" borderId="36" xfId="0" applyFont="1" applyFill="1" applyBorder="1" applyProtection="1">
      <alignment vertical="center"/>
    </xf>
    <xf numFmtId="0" fontId="3" fillId="0" borderId="0" xfId="0" applyFont="1" applyFill="1" applyAlignment="1" applyProtection="1">
      <alignment vertical="center" shrinkToFit="1"/>
    </xf>
    <xf numFmtId="38" fontId="15" fillId="3" borderId="14" xfId="1" applyFont="1" applyFill="1" applyBorder="1" applyProtection="1">
      <alignment vertical="center"/>
    </xf>
    <xf numFmtId="38" fontId="3" fillId="3" borderId="15" xfId="1" applyFont="1" applyFill="1" applyBorder="1" applyProtection="1">
      <alignment vertical="center"/>
    </xf>
    <xf numFmtId="38" fontId="15" fillId="3" borderId="16" xfId="1" applyFont="1" applyFill="1" applyBorder="1" applyProtection="1">
      <alignment vertical="center"/>
    </xf>
    <xf numFmtId="38" fontId="3" fillId="0" borderId="37" xfId="1" applyFont="1" applyFill="1" applyBorder="1" applyProtection="1">
      <alignment vertical="center"/>
    </xf>
    <xf numFmtId="38" fontId="15" fillId="3" borderId="27" xfId="1" applyFont="1" applyFill="1" applyBorder="1" applyProtection="1">
      <alignment vertical="center"/>
    </xf>
    <xf numFmtId="0" fontId="5" fillId="0" borderId="0" xfId="0" applyFont="1" applyFill="1" applyAlignment="1" applyProtection="1">
      <alignment horizontal="left" vertical="center"/>
    </xf>
    <xf numFmtId="0" fontId="39" fillId="0" borderId="0" xfId="0" applyFont="1" applyFill="1" applyAlignment="1" applyProtection="1">
      <alignment horizontal="left" vertical="center"/>
    </xf>
    <xf numFmtId="38" fontId="15" fillId="0" borderId="37" xfId="1" applyFont="1" applyFill="1" applyBorder="1" applyProtection="1">
      <alignment vertical="center"/>
    </xf>
    <xf numFmtId="38" fontId="3" fillId="0" borderId="38" xfId="1" applyFont="1" applyFill="1" applyBorder="1" applyProtection="1">
      <alignment vertical="center"/>
    </xf>
    <xf numFmtId="0" fontId="5" fillId="0" borderId="5" xfId="0" applyFont="1" applyFill="1" applyBorder="1" applyAlignment="1" applyProtection="1">
      <alignment horizontal="right" vertical="center" shrinkToFit="1"/>
    </xf>
    <xf numFmtId="38" fontId="3" fillId="0" borderId="39" xfId="1" applyFont="1" applyFill="1" applyBorder="1" applyProtection="1">
      <alignment vertical="center"/>
    </xf>
    <xf numFmtId="0" fontId="36" fillId="0" borderId="0" xfId="0" applyFont="1" applyFill="1" applyBorder="1" applyAlignment="1" applyProtection="1">
      <alignment horizontal="center"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horizontal="left" vertical="center" wrapText="1"/>
    </xf>
    <xf numFmtId="0" fontId="36"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3" fillId="0" borderId="40" xfId="0" applyFont="1" applyFill="1" applyBorder="1" applyProtection="1">
      <alignment vertical="center"/>
    </xf>
    <xf numFmtId="49" fontId="3" fillId="0" borderId="0" xfId="1" applyNumberFormat="1" applyFont="1" applyFill="1" applyBorder="1" applyProtection="1">
      <alignment vertical="center"/>
    </xf>
    <xf numFmtId="49" fontId="9" fillId="0" borderId="0" xfId="1" applyNumberFormat="1" applyFont="1" applyFill="1" applyBorder="1" applyProtection="1">
      <alignment vertical="center"/>
    </xf>
    <xf numFmtId="38" fontId="15" fillId="0" borderId="41" xfId="1" applyFont="1" applyFill="1" applyBorder="1" applyProtection="1">
      <alignment vertical="center"/>
    </xf>
    <xf numFmtId="0" fontId="45" fillId="0" borderId="0" xfId="0" applyFont="1" applyFill="1" applyAlignment="1" applyProtection="1">
      <alignment horizontal="left" vertical="center"/>
    </xf>
    <xf numFmtId="0" fontId="3" fillId="0" borderId="17" xfId="0" applyFont="1" applyFill="1" applyBorder="1" applyAlignment="1" applyProtection="1">
      <alignment horizontal="center" vertical="center"/>
    </xf>
    <xf numFmtId="0" fontId="3" fillId="0" borderId="42" xfId="0" applyFont="1" applyFill="1" applyBorder="1" applyProtection="1">
      <alignment vertical="center"/>
    </xf>
    <xf numFmtId="0" fontId="45" fillId="0" borderId="1" xfId="0" applyFont="1" applyFill="1" applyBorder="1" applyAlignment="1" applyProtection="1">
      <alignment horizontal="left" vertical="center"/>
    </xf>
    <xf numFmtId="0" fontId="42" fillId="0" borderId="0" xfId="0" applyFont="1" applyFill="1" applyAlignment="1" applyProtection="1">
      <alignment horizontal="center" vertical="center"/>
    </xf>
    <xf numFmtId="0" fontId="51" fillId="0" borderId="20" xfId="0" applyFont="1" applyFill="1" applyBorder="1" applyProtection="1">
      <alignment vertical="center"/>
    </xf>
    <xf numFmtId="38" fontId="3" fillId="0" borderId="3" xfId="1" applyFont="1" applyFill="1" applyBorder="1" applyProtection="1">
      <alignment vertical="center"/>
    </xf>
    <xf numFmtId="38" fontId="3" fillId="0" borderId="36" xfId="1" applyFont="1" applyFill="1" applyBorder="1" applyProtection="1">
      <alignment vertical="center"/>
    </xf>
    <xf numFmtId="38" fontId="3" fillId="0" borderId="7" xfId="1" applyFont="1" applyFill="1" applyBorder="1" applyProtection="1">
      <alignment vertical="center"/>
    </xf>
    <xf numFmtId="38" fontId="3" fillId="0" borderId="7" xfId="1" applyFont="1" applyFill="1" applyBorder="1" applyAlignment="1" applyProtection="1">
      <alignment horizontal="left" vertical="center"/>
    </xf>
    <xf numFmtId="0" fontId="52" fillId="0" borderId="0" xfId="0" applyFont="1" applyFill="1" applyAlignment="1" applyProtection="1">
      <alignment vertical="center"/>
    </xf>
    <xf numFmtId="3" fontId="3" fillId="0" borderId="0" xfId="0" applyNumberFormat="1" applyFont="1" applyFill="1" applyBorder="1" applyAlignment="1" applyProtection="1">
      <alignment horizontal="center" vertical="center"/>
    </xf>
    <xf numFmtId="38" fontId="15" fillId="0" borderId="0" xfId="1" applyFont="1" applyFill="1" applyBorder="1" applyAlignment="1" applyProtection="1">
      <alignment horizontal="right" vertical="center"/>
    </xf>
    <xf numFmtId="38" fontId="3" fillId="0" borderId="17" xfId="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3" fontId="15" fillId="0" borderId="0" xfId="0" applyNumberFormat="1" applyFont="1" applyFill="1" applyBorder="1" applyAlignment="1" applyProtection="1">
      <alignment horizontal="center" vertical="center"/>
    </xf>
    <xf numFmtId="176" fontId="15" fillId="0" borderId="0" xfId="0" applyNumberFormat="1" applyFont="1" applyFill="1" applyBorder="1" applyAlignment="1" applyProtection="1">
      <alignment horizontal="center" vertical="center"/>
    </xf>
    <xf numFmtId="38" fontId="15" fillId="0" borderId="25" xfId="1" applyFont="1" applyFill="1" applyBorder="1" applyAlignment="1" applyProtection="1">
      <alignment horizontal="right" vertical="center"/>
    </xf>
    <xf numFmtId="38" fontId="11" fillId="0" borderId="0" xfId="1" applyFont="1" applyFill="1" applyBorder="1" applyProtection="1">
      <alignment vertical="center"/>
    </xf>
    <xf numFmtId="0" fontId="3" fillId="0" borderId="43" xfId="0" applyFont="1" applyFill="1" applyBorder="1" applyProtection="1">
      <alignment vertical="center"/>
    </xf>
    <xf numFmtId="0" fontId="16" fillId="0" borderId="21" xfId="0" applyFont="1" applyFill="1" applyBorder="1" applyProtection="1">
      <alignment vertical="center"/>
    </xf>
    <xf numFmtId="0" fontId="26" fillId="0" borderId="21" xfId="0" applyFont="1" applyFill="1" applyBorder="1" applyAlignment="1" applyProtection="1">
      <alignment horizontal="center" vertical="center"/>
    </xf>
    <xf numFmtId="0" fontId="3" fillId="0" borderId="17" xfId="0" applyFont="1" applyFill="1" applyBorder="1" applyProtection="1">
      <alignment vertical="center"/>
    </xf>
    <xf numFmtId="0" fontId="53" fillId="0" borderId="0" xfId="0" applyFont="1" applyFill="1" applyAlignment="1" applyProtection="1">
      <alignment horizontal="right" vertical="center"/>
    </xf>
    <xf numFmtId="38" fontId="9" fillId="0" borderId="0" xfId="1" applyFont="1" applyFill="1" applyBorder="1" applyAlignment="1" applyProtection="1">
      <alignment horizontal="center" vertical="center"/>
    </xf>
    <xf numFmtId="38" fontId="9" fillId="0" borderId="0" xfId="1" applyFont="1" applyFill="1" applyProtection="1">
      <alignment vertical="center"/>
    </xf>
    <xf numFmtId="38" fontId="9" fillId="0" borderId="0" xfId="1" applyFont="1" applyFill="1" applyBorder="1" applyAlignment="1" applyProtection="1">
      <alignment horizontal="left" vertical="center"/>
    </xf>
    <xf numFmtId="38" fontId="26" fillId="0" borderId="0" xfId="1" applyFont="1" applyFill="1" applyBorder="1" applyProtection="1">
      <alignment vertical="center"/>
    </xf>
    <xf numFmtId="38" fontId="9" fillId="0" borderId="0" xfId="1" applyFont="1" applyFill="1" applyBorder="1" applyProtection="1">
      <alignment vertical="center"/>
    </xf>
    <xf numFmtId="180" fontId="26" fillId="0" borderId="0" xfId="1" applyNumberFormat="1" applyFont="1" applyFill="1" applyBorder="1" applyAlignment="1" applyProtection="1">
      <alignment horizontal="center" vertical="center" wrapText="1"/>
    </xf>
    <xf numFmtId="38" fontId="26" fillId="0" borderId="17" xfId="1" applyFont="1" applyFill="1" applyBorder="1" applyProtection="1">
      <alignment vertical="center"/>
    </xf>
    <xf numFmtId="38" fontId="49" fillId="0" borderId="17" xfId="1" applyFont="1" applyFill="1" applyBorder="1" applyProtection="1">
      <alignment vertical="center"/>
    </xf>
    <xf numFmtId="38" fontId="13" fillId="0" borderId="17" xfId="1" applyFont="1" applyFill="1" applyBorder="1" applyProtection="1">
      <alignment vertical="center"/>
    </xf>
    <xf numFmtId="38" fontId="49" fillId="0" borderId="0" xfId="1" applyFont="1" applyFill="1" applyBorder="1" applyProtection="1">
      <alignment vertical="center"/>
    </xf>
    <xf numFmtId="0" fontId="15"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15" fillId="0" borderId="0" xfId="0" applyFont="1" applyFill="1" applyBorder="1" applyAlignment="1" applyProtection="1">
      <alignment vertical="center" shrinkToFit="1"/>
    </xf>
    <xf numFmtId="0" fontId="3" fillId="0" borderId="44" xfId="0" applyFont="1" applyFill="1" applyBorder="1" applyAlignment="1" applyProtection="1">
      <alignment horizontal="left" vertical="center"/>
    </xf>
    <xf numFmtId="38" fontId="18" fillId="0" borderId="0" xfId="1" applyFont="1" applyFill="1" applyBorder="1" applyProtection="1">
      <alignment vertical="center"/>
    </xf>
    <xf numFmtId="38" fontId="15" fillId="0" borderId="4" xfId="1" applyFont="1" applyFill="1" applyBorder="1" applyAlignment="1" applyProtection="1">
      <alignment horizontal="right" vertical="center"/>
    </xf>
    <xf numFmtId="38" fontId="3" fillId="0" borderId="12" xfId="1" applyFont="1" applyFill="1" applyBorder="1" applyProtection="1">
      <alignment vertical="center"/>
    </xf>
    <xf numFmtId="38" fontId="15" fillId="0" borderId="12" xfId="1" applyFont="1" applyFill="1" applyBorder="1" applyProtection="1">
      <alignment vertical="center"/>
    </xf>
    <xf numFmtId="38" fontId="15" fillId="0" borderId="0" xfId="1" applyFont="1" applyFill="1" applyBorder="1" applyAlignment="1" applyProtection="1">
      <alignment vertical="center"/>
    </xf>
    <xf numFmtId="38" fontId="21" fillId="0" borderId="0" xfId="1" applyFont="1" applyFill="1" applyBorder="1" applyAlignment="1" applyProtection="1">
      <alignment horizontal="center" vertical="center" wrapText="1"/>
    </xf>
    <xf numFmtId="38" fontId="23" fillId="0" borderId="45" xfId="1" applyFont="1" applyFill="1" applyBorder="1" applyAlignment="1" applyProtection="1">
      <alignment horizontal="left" vertical="center"/>
    </xf>
    <xf numFmtId="38" fontId="3" fillId="0" borderId="0" xfId="1" applyFont="1" applyFill="1" applyBorder="1" applyAlignment="1" applyProtection="1">
      <alignment vertical="center" shrinkToFit="1"/>
    </xf>
    <xf numFmtId="38" fontId="25" fillId="0" borderId="0" xfId="1" applyFont="1" applyFill="1" applyBorder="1" applyAlignment="1" applyProtection="1">
      <alignment vertical="center" shrinkToFit="1"/>
    </xf>
    <xf numFmtId="38" fontId="3" fillId="0" borderId="35" xfId="1" applyFont="1" applyFill="1" applyBorder="1" applyAlignment="1" applyProtection="1">
      <alignment vertical="center" shrinkToFit="1"/>
    </xf>
    <xf numFmtId="0" fontId="3" fillId="0" borderId="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5" fillId="0" borderId="4" xfId="0" applyFont="1" applyFill="1" applyBorder="1" applyAlignment="1" applyProtection="1">
      <alignment horizontal="left" vertical="center"/>
    </xf>
    <xf numFmtId="0" fontId="0" fillId="0" borderId="0" xfId="0" applyBorder="1" applyAlignment="1">
      <alignment vertical="center"/>
    </xf>
    <xf numFmtId="0" fontId="9" fillId="0" borderId="0" xfId="0" applyFont="1" applyFill="1" applyBorder="1" applyAlignment="1" applyProtection="1">
      <alignment horizontal="center" vertical="center"/>
    </xf>
    <xf numFmtId="0" fontId="3" fillId="0" borderId="43" xfId="0" applyFont="1" applyFill="1" applyBorder="1" applyAlignment="1" applyProtection="1">
      <alignment horizontal="left" vertical="center"/>
    </xf>
    <xf numFmtId="38" fontId="5" fillId="0" borderId="12" xfId="1" applyFont="1" applyFill="1" applyBorder="1" applyAlignment="1" applyProtection="1">
      <alignment horizontal="right" vertical="center"/>
    </xf>
    <xf numFmtId="3" fontId="10" fillId="0" borderId="12" xfId="0" applyNumberFormat="1" applyFont="1" applyFill="1" applyBorder="1" applyAlignment="1" applyProtection="1">
      <alignment horizontal="center" vertical="center"/>
    </xf>
    <xf numFmtId="0" fontId="33" fillId="0" borderId="12" xfId="0" applyFont="1" applyFill="1" applyBorder="1" applyAlignment="1" applyProtection="1">
      <alignment vertical="center"/>
    </xf>
    <xf numFmtId="38" fontId="15" fillId="0" borderId="12" xfId="1" applyFont="1" applyFill="1" applyBorder="1" applyAlignment="1" applyProtection="1">
      <alignment horizontal="right" vertical="center"/>
    </xf>
    <xf numFmtId="0" fontId="15" fillId="0" borderId="12" xfId="0" applyFont="1" applyFill="1" applyBorder="1" applyAlignment="1" applyProtection="1">
      <alignment vertical="center" shrinkToFit="1"/>
    </xf>
    <xf numFmtId="38" fontId="9" fillId="0" borderId="12" xfId="1" applyFont="1" applyFill="1" applyBorder="1" applyAlignment="1" applyProtection="1">
      <alignment horizontal="center" vertical="center"/>
    </xf>
    <xf numFmtId="0" fontId="50" fillId="0" borderId="46" xfId="0" applyFont="1" applyFill="1" applyBorder="1" applyAlignment="1" applyProtection="1">
      <alignment horizontal="center" vertical="center" shrinkToFit="1"/>
    </xf>
    <xf numFmtId="0" fontId="47" fillId="0" borderId="0" xfId="0" applyFont="1" applyFill="1" applyAlignment="1" applyProtection="1">
      <alignment horizontal="center" vertical="center"/>
    </xf>
    <xf numFmtId="0" fontId="18" fillId="0" borderId="0" xfId="0" applyFont="1" applyFill="1" applyAlignment="1" applyProtection="1">
      <alignment horizontal="left" vertical="center"/>
    </xf>
    <xf numFmtId="177" fontId="15" fillId="0" borderId="12" xfId="0" applyNumberFormat="1" applyFont="1" applyFill="1" applyBorder="1" applyAlignment="1" applyProtection="1">
      <alignment horizontal="center" vertical="center"/>
    </xf>
    <xf numFmtId="38" fontId="15" fillId="0" borderId="17" xfId="0" applyNumberFormat="1" applyFont="1" applyFill="1" applyBorder="1" applyProtection="1">
      <alignment vertical="center"/>
    </xf>
    <xf numFmtId="180" fontId="9" fillId="0" borderId="17" xfId="1" applyNumberFormat="1" applyFont="1" applyFill="1" applyBorder="1" applyAlignment="1" applyProtection="1">
      <alignment horizontal="center" vertical="center" wrapText="1"/>
    </xf>
    <xf numFmtId="38" fontId="9" fillId="0" borderId="17" xfId="1" applyFont="1" applyFill="1" applyBorder="1" applyProtection="1">
      <alignment vertical="center"/>
    </xf>
    <xf numFmtId="38" fontId="3" fillId="0" borderId="12" xfId="1" applyFont="1" applyFill="1" applyBorder="1" applyAlignment="1" applyProtection="1">
      <alignment horizontal="left" vertical="center"/>
    </xf>
    <xf numFmtId="0" fontId="59" fillId="0" borderId="43" xfId="0" applyFont="1" applyFill="1" applyBorder="1" applyProtection="1">
      <alignment vertical="center"/>
    </xf>
    <xf numFmtId="38" fontId="3" fillId="0" borderId="47" xfId="1" applyFont="1" applyFill="1" applyBorder="1" applyProtection="1">
      <alignment vertical="center"/>
    </xf>
    <xf numFmtId="38" fontId="15" fillId="0" borderId="47" xfId="1" applyFont="1" applyFill="1" applyBorder="1" applyProtection="1">
      <alignment vertical="center"/>
    </xf>
    <xf numFmtId="38" fontId="5" fillId="0" borderId="1" xfId="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0" fillId="0" borderId="0" xfId="0" applyBorder="1" applyAlignment="1">
      <alignment vertical="center" shrinkToFit="1"/>
    </xf>
    <xf numFmtId="0" fontId="27" fillId="0" borderId="0" xfId="0" applyFont="1" applyBorder="1" applyAlignment="1">
      <alignment vertical="center"/>
    </xf>
    <xf numFmtId="38" fontId="20" fillId="0" borderId="23" xfId="1" applyFont="1" applyFill="1" applyBorder="1" applyAlignment="1" applyProtection="1">
      <alignment horizontal="center" vertical="center"/>
    </xf>
    <xf numFmtId="180" fontId="21" fillId="0" borderId="23" xfId="1" applyNumberFormat="1"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xf>
    <xf numFmtId="38" fontId="5" fillId="0" borderId="0" xfId="1" applyFont="1" applyFill="1" applyBorder="1" applyAlignment="1" applyProtection="1">
      <alignment horizontal="center" vertical="center"/>
    </xf>
    <xf numFmtId="38" fontId="9" fillId="0" borderId="35" xfId="1" applyFont="1" applyFill="1" applyBorder="1" applyProtection="1">
      <alignment vertical="center"/>
    </xf>
    <xf numFmtId="38" fontId="3" fillId="0" borderId="32" xfId="1" applyFont="1" applyFill="1" applyBorder="1" applyProtection="1">
      <alignment vertical="center"/>
    </xf>
    <xf numFmtId="0" fontId="5" fillId="0" borderId="1" xfId="0" applyFont="1" applyFill="1" applyBorder="1" applyAlignment="1" applyProtection="1">
      <alignment horizontal="center" vertical="center"/>
    </xf>
    <xf numFmtId="38" fontId="3" fillId="0" borderId="48" xfId="1" applyFont="1" applyFill="1" applyBorder="1" applyProtection="1">
      <alignment vertical="center"/>
    </xf>
    <xf numFmtId="38" fontId="20" fillId="0" borderId="48" xfId="1" applyFont="1" applyFill="1" applyBorder="1" applyAlignment="1" applyProtection="1">
      <alignment horizontal="center" vertical="center"/>
    </xf>
    <xf numFmtId="38" fontId="15" fillId="0" borderId="48" xfId="1" applyFont="1" applyFill="1" applyBorder="1" applyProtection="1">
      <alignment vertical="center"/>
    </xf>
    <xf numFmtId="38" fontId="3" fillId="0" borderId="0" xfId="1" applyFont="1" applyFill="1" applyBorder="1" applyAlignment="1" applyProtection="1">
      <alignment vertical="center"/>
    </xf>
    <xf numFmtId="3" fontId="15" fillId="0" borderId="0" xfId="1" applyNumberFormat="1" applyFont="1" applyFill="1" applyBorder="1" applyAlignment="1" applyProtection="1">
      <alignment horizontal="center" vertical="center"/>
    </xf>
    <xf numFmtId="38" fontId="3" fillId="0" borderId="32" xfId="1" applyFont="1" applyFill="1" applyBorder="1" applyAlignment="1" applyProtection="1">
      <alignment vertical="center"/>
    </xf>
    <xf numFmtId="3" fontId="15" fillId="0" borderId="47" xfId="1" applyNumberFormat="1" applyFont="1" applyFill="1" applyBorder="1" applyAlignment="1" applyProtection="1">
      <alignment horizontal="right" vertical="center"/>
    </xf>
    <xf numFmtId="180" fontId="60" fillId="0" borderId="32" xfId="1" applyNumberFormat="1" applyFont="1" applyFill="1" applyBorder="1" applyAlignment="1" applyProtection="1">
      <alignment horizontal="center" vertical="center" wrapText="1"/>
    </xf>
    <xf numFmtId="38" fontId="61" fillId="0" borderId="17" xfId="1" applyFont="1" applyFill="1" applyBorder="1" applyAlignment="1" applyProtection="1">
      <alignment horizontal="center" vertical="center"/>
    </xf>
    <xf numFmtId="38" fontId="5" fillId="0" borderId="5" xfId="1" applyFont="1" applyFill="1" applyBorder="1" applyAlignment="1" applyProtection="1">
      <alignment horizontal="left" vertical="center"/>
    </xf>
    <xf numFmtId="38" fontId="15" fillId="0" borderId="5" xfId="1" applyFont="1" applyFill="1" applyBorder="1" applyProtection="1">
      <alignment vertical="center"/>
    </xf>
    <xf numFmtId="38" fontId="15" fillId="0" borderId="21" xfId="1" applyFont="1" applyFill="1" applyBorder="1" applyProtection="1">
      <alignment vertical="center"/>
    </xf>
    <xf numFmtId="0" fontId="5" fillId="0" borderId="17" xfId="0" applyFont="1" applyFill="1" applyBorder="1" applyAlignment="1" applyProtection="1">
      <alignment horizontal="center" vertical="center"/>
    </xf>
    <xf numFmtId="38" fontId="8" fillId="0" borderId="17" xfId="1" applyFont="1" applyFill="1" applyBorder="1" applyAlignment="1" applyProtection="1">
      <alignment horizontal="center" vertical="center"/>
    </xf>
    <xf numFmtId="0" fontId="3" fillId="0" borderId="49" xfId="0" applyFont="1" applyFill="1" applyBorder="1" applyAlignment="1" applyProtection="1">
      <alignment horizontal="right" vertical="center"/>
    </xf>
    <xf numFmtId="0" fontId="3" fillId="0" borderId="44" xfId="0" applyFont="1" applyFill="1" applyBorder="1" applyProtection="1">
      <alignment vertical="center"/>
    </xf>
    <xf numFmtId="0" fontId="10" fillId="0" borderId="3" xfId="0" applyFont="1" applyFill="1" applyBorder="1" applyProtection="1">
      <alignment vertical="center"/>
    </xf>
    <xf numFmtId="0" fontId="0" fillId="0" borderId="23" xfId="0" applyBorder="1" applyProtection="1">
      <alignment vertical="center"/>
    </xf>
    <xf numFmtId="38" fontId="23" fillId="0" borderId="0" xfId="1" applyFont="1" applyFill="1" applyBorder="1" applyProtection="1">
      <alignment vertical="center"/>
    </xf>
    <xf numFmtId="0" fontId="0" fillId="0" borderId="0" xfId="0" applyBorder="1" applyProtection="1">
      <alignment vertical="center"/>
    </xf>
    <xf numFmtId="0" fontId="3" fillId="0" borderId="35" xfId="0" applyFont="1" applyFill="1" applyBorder="1" applyAlignment="1" applyProtection="1">
      <alignment horizontal="center" vertical="center"/>
    </xf>
    <xf numFmtId="0" fontId="10" fillId="0" borderId="36" xfId="0" applyFont="1" applyFill="1" applyBorder="1" applyProtection="1">
      <alignment vertical="center"/>
    </xf>
    <xf numFmtId="0" fontId="10" fillId="0" borderId="35" xfId="0" applyFont="1" applyFill="1" applyBorder="1" applyProtection="1">
      <alignment vertical="center"/>
    </xf>
    <xf numFmtId="0" fontId="48" fillId="0" borderId="0" xfId="0" applyFont="1" applyFill="1" applyBorder="1" applyAlignment="1" applyProtection="1">
      <alignment horizontal="center" vertical="center"/>
    </xf>
    <xf numFmtId="38" fontId="42" fillId="0" borderId="0" xfId="1" applyFont="1" applyFill="1" applyBorder="1" applyAlignment="1" applyProtection="1">
      <alignment horizontal="center" vertical="center"/>
    </xf>
    <xf numFmtId="0" fontId="45" fillId="0" borderId="0" xfId="0" applyFont="1" applyFill="1" applyBorder="1" applyAlignment="1" applyProtection="1">
      <alignment horizontal="left" vertical="center"/>
    </xf>
    <xf numFmtId="0" fontId="43" fillId="0" borderId="1"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18" fillId="0" borderId="23" xfId="0" applyFont="1" applyFill="1" applyBorder="1" applyAlignment="1" applyProtection="1">
      <alignment vertical="top" textRotation="255"/>
    </xf>
    <xf numFmtId="38" fontId="3" fillId="3" borderId="50" xfId="1" applyFont="1" applyFill="1" applyBorder="1" applyProtection="1">
      <alignment vertical="center"/>
    </xf>
    <xf numFmtId="38" fontId="15" fillId="3" borderId="30" xfId="1" applyFont="1" applyFill="1" applyBorder="1" applyProtection="1">
      <alignment vertical="center"/>
    </xf>
    <xf numFmtId="38" fontId="3" fillId="3" borderId="28" xfId="1" applyFont="1" applyFill="1" applyBorder="1" applyProtection="1">
      <alignment vertical="center"/>
    </xf>
    <xf numFmtId="38" fontId="15" fillId="3" borderId="51" xfId="1" applyFont="1" applyFill="1" applyBorder="1" applyProtection="1">
      <alignment vertical="center"/>
    </xf>
    <xf numFmtId="38" fontId="3" fillId="3" borderId="13" xfId="1" applyFont="1" applyFill="1" applyBorder="1" applyProtection="1">
      <alignment vertical="center"/>
    </xf>
    <xf numFmtId="38" fontId="3" fillId="3" borderId="38" xfId="1" applyFont="1" applyFill="1" applyBorder="1" applyProtection="1">
      <alignment vertical="center"/>
    </xf>
    <xf numFmtId="38" fontId="3" fillId="3" borderId="26" xfId="1" applyFont="1" applyFill="1" applyBorder="1" applyProtection="1">
      <alignment vertical="center"/>
    </xf>
    <xf numFmtId="38" fontId="5" fillId="0" borderId="0" xfId="1" applyFont="1" applyFill="1" applyBorder="1" applyAlignment="1" applyProtection="1">
      <alignment vertical="center"/>
    </xf>
    <xf numFmtId="38" fontId="15" fillId="4" borderId="14" xfId="1" applyFont="1" applyFill="1" applyBorder="1" applyProtection="1">
      <alignment vertical="center"/>
    </xf>
    <xf numFmtId="38" fontId="8" fillId="0" borderId="0" xfId="1" applyFont="1" applyFill="1" applyBorder="1" applyAlignment="1" applyProtection="1">
      <alignment horizontal="center" vertical="center"/>
    </xf>
    <xf numFmtId="180" fontId="9" fillId="0" borderId="0" xfId="1" applyNumberFormat="1" applyFont="1" applyFill="1" applyBorder="1" applyAlignment="1" applyProtection="1">
      <alignment horizontal="center" vertical="center" wrapText="1"/>
    </xf>
    <xf numFmtId="38" fontId="13" fillId="0" borderId="0" xfId="1" applyFont="1" applyFill="1" applyBorder="1" applyProtection="1">
      <alignment vertical="center"/>
    </xf>
    <xf numFmtId="38" fontId="8" fillId="0" borderId="52" xfId="0" applyNumberFormat="1" applyFont="1" applyFill="1" applyBorder="1" applyAlignment="1" applyProtection="1">
      <alignment horizontal="center" vertical="center"/>
    </xf>
    <xf numFmtId="3" fontId="77" fillId="0" borderId="0" xfId="0" applyNumberFormat="1" applyFont="1" applyFill="1" applyProtection="1">
      <alignment vertical="center"/>
    </xf>
    <xf numFmtId="0" fontId="78" fillId="0" borderId="0" xfId="0" applyFont="1" applyFill="1" applyProtection="1">
      <alignment vertical="center"/>
    </xf>
    <xf numFmtId="38" fontId="49" fillId="0" borderId="17" xfId="1" applyFont="1" applyFill="1" applyBorder="1" applyAlignment="1" applyProtection="1">
      <alignment horizontal="center" vertical="center"/>
    </xf>
    <xf numFmtId="38" fontId="34" fillId="0" borderId="17" xfId="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47" xfId="0" applyFont="1" applyFill="1" applyBorder="1" applyAlignment="1" applyProtection="1">
      <alignment horizontal="center" vertical="center"/>
    </xf>
    <xf numFmtId="0" fontId="3" fillId="0" borderId="48" xfId="0" applyFont="1" applyFill="1" applyBorder="1" applyProtection="1">
      <alignment vertical="center"/>
    </xf>
    <xf numFmtId="0" fontId="3" fillId="0" borderId="47" xfId="0" applyFont="1" applyFill="1" applyBorder="1" applyProtection="1">
      <alignment vertical="center"/>
    </xf>
    <xf numFmtId="0" fontId="3" fillId="0" borderId="53"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3" fillId="0" borderId="55" xfId="0" applyFont="1" applyFill="1" applyBorder="1" applyAlignment="1" applyProtection="1">
      <alignment horizontal="center" vertical="center"/>
    </xf>
    <xf numFmtId="0" fontId="3" fillId="0" borderId="32" xfId="0" applyFont="1" applyFill="1" applyBorder="1" applyProtection="1">
      <alignment vertical="center"/>
    </xf>
    <xf numFmtId="0" fontId="3" fillId="0" borderId="48" xfId="0" applyFont="1" applyFill="1" applyBorder="1" applyAlignment="1" applyProtection="1">
      <alignment horizontal="center" vertical="center"/>
    </xf>
    <xf numFmtId="38" fontId="81" fillId="0" borderId="53" xfId="1" applyFont="1" applyFill="1" applyBorder="1">
      <alignment vertical="center"/>
    </xf>
    <xf numFmtId="38" fontId="81" fillId="0" borderId="54" xfId="1" applyFont="1" applyFill="1" applyBorder="1">
      <alignment vertical="center"/>
    </xf>
    <xf numFmtId="38" fontId="81" fillId="0" borderId="53" xfId="1" applyFont="1" applyFill="1" applyBorder="1" applyAlignment="1">
      <alignment horizontal="center" vertical="center"/>
    </xf>
    <xf numFmtId="182" fontId="81" fillId="0" borderId="53" xfId="1" applyNumberFormat="1" applyFont="1" applyFill="1" applyBorder="1">
      <alignment vertical="center"/>
    </xf>
    <xf numFmtId="38" fontId="27" fillId="0" borderId="48" xfId="1" applyFont="1" applyFill="1" applyBorder="1">
      <alignment vertical="center"/>
    </xf>
    <xf numFmtId="38" fontId="13" fillId="0" borderId="48" xfId="1" applyFont="1" applyFill="1" applyBorder="1" applyAlignment="1">
      <alignment horizontal="center" vertical="center"/>
    </xf>
    <xf numFmtId="38" fontId="27" fillId="0" borderId="48" xfId="1" applyFont="1" applyFill="1" applyBorder="1" applyAlignment="1">
      <alignment horizontal="center" vertical="center"/>
    </xf>
    <xf numFmtId="38" fontId="82" fillId="0" borderId="0" xfId="1" applyFont="1" applyFill="1">
      <alignment vertical="center"/>
    </xf>
    <xf numFmtId="38" fontId="82" fillId="0" borderId="32" xfId="1" applyFont="1" applyFill="1" applyBorder="1">
      <alignment vertical="center"/>
    </xf>
    <xf numFmtId="38" fontId="27" fillId="0" borderId="32" xfId="1" applyFont="1" applyFill="1" applyBorder="1">
      <alignment vertical="center"/>
    </xf>
    <xf numFmtId="38" fontId="82" fillId="0" borderId="47" xfId="1" applyFont="1" applyFill="1" applyBorder="1" applyAlignment="1">
      <alignment horizontal="center" vertical="center" shrinkToFit="1"/>
    </xf>
    <xf numFmtId="38" fontId="27" fillId="0" borderId="47" xfId="1" applyFont="1" applyFill="1" applyBorder="1">
      <alignment vertical="center"/>
    </xf>
    <xf numFmtId="38" fontId="82" fillId="0" borderId="0" xfId="1" applyFont="1" applyFill="1" applyAlignment="1">
      <alignment vertical="center" shrinkToFit="1"/>
    </xf>
    <xf numFmtId="38" fontId="27" fillId="0" borderId="0" xfId="1" applyFont="1" applyFill="1">
      <alignment vertical="center"/>
    </xf>
    <xf numFmtId="38" fontId="82" fillId="0" borderId="54" xfId="1" applyFont="1" applyFill="1" applyBorder="1" applyAlignment="1">
      <alignment horizontal="center" vertical="center"/>
    </xf>
    <xf numFmtId="38" fontId="82" fillId="0" borderId="47" xfId="1" applyFont="1" applyFill="1" applyBorder="1" applyAlignment="1">
      <alignment vertical="center" shrinkToFit="1"/>
    </xf>
    <xf numFmtId="38" fontId="82" fillId="0" borderId="56" xfId="1" applyFont="1" applyFill="1" applyBorder="1" applyAlignment="1">
      <alignment horizontal="center" vertical="center"/>
    </xf>
    <xf numFmtId="38" fontId="82" fillId="0" borderId="48" xfId="1" applyFont="1" applyFill="1" applyBorder="1">
      <alignment vertical="center"/>
    </xf>
    <xf numFmtId="38" fontId="82" fillId="0" borderId="0" xfId="1" applyFont="1" applyFill="1" applyBorder="1" applyAlignment="1">
      <alignment vertical="center" shrinkToFit="1"/>
    </xf>
    <xf numFmtId="38" fontId="27" fillId="0" borderId="0" xfId="1" applyFont="1" applyFill="1" applyBorder="1">
      <alignment vertical="center"/>
    </xf>
    <xf numFmtId="38" fontId="82" fillId="0" borderId="48" xfId="1" applyFont="1" applyFill="1" applyBorder="1" applyAlignment="1">
      <alignment horizontal="center" vertical="center"/>
    </xf>
    <xf numFmtId="38" fontId="82" fillId="0" borderId="54" xfId="1" applyFont="1" applyFill="1" applyBorder="1">
      <alignment vertical="center"/>
    </xf>
    <xf numFmtId="38" fontId="82" fillId="0" borderId="0" xfId="1" applyFont="1" applyFill="1" applyAlignment="1">
      <alignment horizontal="center" vertical="center"/>
    </xf>
    <xf numFmtId="38" fontId="82" fillId="0" borderId="23" xfId="1" applyFont="1" applyFill="1" applyBorder="1">
      <alignment vertical="center"/>
    </xf>
    <xf numFmtId="38" fontId="75" fillId="0" borderId="53" xfId="1" applyFont="1" applyFill="1" applyBorder="1">
      <alignment vertical="center"/>
    </xf>
    <xf numFmtId="38" fontId="15" fillId="5" borderId="31" xfId="1" applyFont="1" applyFill="1" applyBorder="1" applyProtection="1">
      <alignment vertical="center"/>
    </xf>
    <xf numFmtId="38" fontId="3" fillId="5" borderId="31" xfId="1" applyFont="1" applyFill="1" applyBorder="1" applyAlignment="1" applyProtection="1">
      <alignment vertical="center" shrinkToFit="1"/>
    </xf>
    <xf numFmtId="38" fontId="15" fillId="5" borderId="14" xfId="1" applyFont="1" applyFill="1" applyBorder="1" applyAlignment="1" applyProtection="1">
      <alignment vertical="center" shrinkToFit="1"/>
    </xf>
    <xf numFmtId="38" fontId="3" fillId="5" borderId="15" xfId="1" applyFont="1" applyFill="1" applyBorder="1" applyProtection="1">
      <alignment vertical="center"/>
    </xf>
    <xf numFmtId="38" fontId="9" fillId="5" borderId="31" xfId="1" applyFont="1" applyFill="1" applyBorder="1" applyAlignment="1" applyProtection="1">
      <alignment vertical="center" shrinkToFit="1"/>
    </xf>
    <xf numFmtId="38" fontId="3" fillId="5" borderId="0" xfId="1" applyFont="1" applyFill="1" applyBorder="1" applyProtection="1">
      <alignment vertical="center"/>
    </xf>
    <xf numFmtId="38" fontId="3" fillId="5" borderId="0" xfId="1" applyFont="1" applyFill="1" applyBorder="1" applyAlignment="1" applyProtection="1">
      <alignment vertical="center" shrinkToFit="1"/>
    </xf>
    <xf numFmtId="38" fontId="15" fillId="5" borderId="0" xfId="1" applyFont="1" applyFill="1" applyBorder="1" applyProtection="1">
      <alignment vertical="center"/>
    </xf>
    <xf numFmtId="0" fontId="3" fillId="3" borderId="0" xfId="0" applyFont="1" applyFill="1" applyBorder="1" applyProtection="1">
      <alignment vertical="center"/>
    </xf>
    <xf numFmtId="38" fontId="3" fillId="3" borderId="31" xfId="1" applyFont="1" applyFill="1" applyBorder="1" applyAlignment="1" applyProtection="1">
      <alignment vertical="center" shrinkToFit="1"/>
    </xf>
    <xf numFmtId="38" fontId="9" fillId="3" borderId="31" xfId="1" applyFont="1" applyFill="1" applyBorder="1" applyAlignment="1" applyProtection="1">
      <alignment vertical="center" shrinkToFit="1"/>
    </xf>
    <xf numFmtId="0" fontId="3" fillId="6" borderId="0" xfId="0" applyFont="1" applyFill="1" applyBorder="1" applyProtection="1">
      <alignment vertical="center"/>
    </xf>
    <xf numFmtId="38" fontId="3" fillId="6" borderId="28" xfId="1" applyFont="1" applyFill="1" applyBorder="1" applyProtection="1">
      <alignment vertical="center"/>
    </xf>
    <xf numFmtId="38" fontId="79" fillId="6" borderId="31" xfId="1" applyFont="1" applyFill="1" applyBorder="1">
      <alignment vertical="center"/>
    </xf>
    <xf numFmtId="38" fontId="3" fillId="6" borderId="31" xfId="1" applyFont="1" applyFill="1" applyBorder="1" applyAlignment="1" applyProtection="1">
      <alignment vertical="center" shrinkToFit="1"/>
    </xf>
    <xf numFmtId="38" fontId="3" fillId="6" borderId="15" xfId="1" applyFont="1" applyFill="1" applyBorder="1" applyProtection="1">
      <alignment vertical="center"/>
    </xf>
    <xf numFmtId="38" fontId="9" fillId="6" borderId="31" xfId="1" applyFont="1" applyFill="1" applyBorder="1" applyAlignment="1" applyProtection="1">
      <alignment vertical="center" shrinkToFit="1"/>
    </xf>
    <xf numFmtId="38" fontId="16" fillId="6" borderId="14" xfId="1" applyFont="1" applyFill="1" applyBorder="1" applyProtection="1">
      <alignment vertical="center"/>
    </xf>
    <xf numFmtId="38" fontId="3" fillId="6" borderId="14" xfId="1" applyFont="1" applyFill="1" applyBorder="1" applyAlignment="1" applyProtection="1">
      <alignment vertical="center" shrinkToFit="1"/>
    </xf>
    <xf numFmtId="38" fontId="8" fillId="5" borderId="14" xfId="1" applyFont="1" applyFill="1" applyBorder="1" applyAlignment="1" applyProtection="1">
      <alignment vertical="center" shrinkToFit="1"/>
    </xf>
    <xf numFmtId="38" fontId="8" fillId="3" borderId="14" xfId="1" applyFont="1" applyFill="1" applyBorder="1" applyAlignment="1" applyProtection="1">
      <alignment vertical="center" shrinkToFit="1"/>
    </xf>
    <xf numFmtId="38" fontId="27" fillId="5" borderId="32" xfId="1" applyFont="1" applyFill="1" applyBorder="1">
      <alignment vertical="center"/>
    </xf>
    <xf numFmtId="38" fontId="27" fillId="5" borderId="47" xfId="1" applyFont="1" applyFill="1" applyBorder="1">
      <alignment vertical="center"/>
    </xf>
    <xf numFmtId="0" fontId="3" fillId="5" borderId="53" xfId="0" applyFont="1" applyFill="1" applyBorder="1" applyAlignment="1" applyProtection="1">
      <alignment horizontal="center" vertical="center"/>
    </xf>
    <xf numFmtId="38" fontId="75" fillId="5" borderId="0" xfId="1" applyFont="1" applyFill="1">
      <alignment vertical="center"/>
    </xf>
    <xf numFmtId="0" fontId="3" fillId="5" borderId="54" xfId="0" applyFont="1" applyFill="1" applyBorder="1" applyAlignment="1" applyProtection="1">
      <alignment horizontal="center" vertical="center"/>
    </xf>
    <xf numFmtId="38" fontId="81" fillId="5" borderId="54" xfId="1" applyFont="1" applyFill="1" applyBorder="1">
      <alignment vertical="center"/>
    </xf>
    <xf numFmtId="38" fontId="27" fillId="5" borderId="48" xfId="1" applyFont="1" applyFill="1" applyBorder="1">
      <alignment vertical="center"/>
    </xf>
    <xf numFmtId="0" fontId="3" fillId="5" borderId="48" xfId="0" applyFont="1" applyFill="1" applyBorder="1" applyProtection="1">
      <alignment vertical="center"/>
    </xf>
    <xf numFmtId="38" fontId="82" fillId="5" borderId="54" xfId="1" applyFont="1" applyFill="1" applyBorder="1" applyAlignment="1">
      <alignment horizontal="center" vertical="center"/>
    </xf>
    <xf numFmtId="0" fontId="3" fillId="5" borderId="47" xfId="0" applyFont="1" applyFill="1" applyBorder="1" applyProtection="1">
      <alignment vertical="center"/>
    </xf>
    <xf numFmtId="0" fontId="3" fillId="5" borderId="55" xfId="0" applyFont="1" applyFill="1" applyBorder="1" applyAlignment="1" applyProtection="1">
      <alignment horizontal="center" vertical="center"/>
    </xf>
    <xf numFmtId="38" fontId="82" fillId="5" borderId="55" xfId="1" applyFont="1" applyFill="1" applyBorder="1">
      <alignment vertical="center"/>
    </xf>
    <xf numFmtId="0" fontId="3" fillId="6" borderId="0" xfId="0" applyFont="1" applyFill="1" applyBorder="1" applyAlignment="1" applyProtection="1">
      <alignment vertical="center" shrinkToFit="1"/>
    </xf>
    <xf numFmtId="38" fontId="81" fillId="3" borderId="31" xfId="1" applyFont="1" applyFill="1" applyBorder="1">
      <alignment vertical="center"/>
    </xf>
    <xf numFmtId="38" fontId="81" fillId="3" borderId="14" xfId="1" applyFont="1" applyFill="1" applyBorder="1">
      <alignment vertical="center"/>
    </xf>
    <xf numFmtId="38" fontId="15" fillId="3" borderId="14" xfId="1" applyFont="1" applyFill="1" applyBorder="1" applyAlignment="1" applyProtection="1">
      <alignment vertical="center" shrinkToFit="1"/>
    </xf>
    <xf numFmtId="38" fontId="9" fillId="3" borderId="0" xfId="1" applyFont="1" applyFill="1" applyBorder="1" applyProtection="1">
      <alignment vertical="center"/>
    </xf>
    <xf numFmtId="38" fontId="3" fillId="3" borderId="0" xfId="1" applyFont="1" applyFill="1" applyBorder="1" applyProtection="1">
      <alignment vertical="center"/>
    </xf>
    <xf numFmtId="38" fontId="3" fillId="3" borderId="0" xfId="1" applyFont="1" applyFill="1" applyBorder="1" applyAlignment="1" applyProtection="1">
      <alignment vertical="center" shrinkToFit="1"/>
    </xf>
    <xf numFmtId="38" fontId="26" fillId="3" borderId="0" xfId="1" applyFont="1" applyFill="1" applyBorder="1" applyProtection="1">
      <alignment vertical="center"/>
    </xf>
    <xf numFmtId="38" fontId="3" fillId="3" borderId="15" xfId="1" applyFont="1" applyFill="1" applyBorder="1" applyAlignment="1" applyProtection="1">
      <alignment vertical="center" shrinkToFit="1"/>
    </xf>
    <xf numFmtId="38" fontId="9" fillId="3" borderId="15" xfId="1" applyFont="1" applyFill="1" applyBorder="1" applyAlignment="1" applyProtection="1">
      <alignment vertical="center" shrinkToFit="1"/>
    </xf>
    <xf numFmtId="38" fontId="15" fillId="3" borderId="57" xfId="1" applyFont="1" applyFill="1" applyBorder="1" applyAlignment="1" applyProtection="1">
      <alignment vertical="center" shrinkToFit="1"/>
    </xf>
    <xf numFmtId="38" fontId="81" fillId="3" borderId="14" xfId="1" applyFont="1" applyFill="1" applyBorder="1" applyAlignment="1">
      <alignment horizontal="center" vertical="center"/>
    </xf>
    <xf numFmtId="38" fontId="79" fillId="6" borderId="14" xfId="1" applyFont="1" applyFill="1" applyBorder="1">
      <alignment vertical="center"/>
    </xf>
    <xf numFmtId="0" fontId="3" fillId="7" borderId="0" xfId="0" applyFont="1" applyFill="1" applyBorder="1" applyProtection="1">
      <alignment vertical="center"/>
    </xf>
    <xf numFmtId="49" fontId="9" fillId="7" borderId="0" xfId="1" applyNumberFormat="1" applyFont="1" applyFill="1" applyBorder="1" applyProtection="1">
      <alignment vertical="center"/>
    </xf>
    <xf numFmtId="38" fontId="3" fillId="7" borderId="28" xfId="1" applyFont="1" applyFill="1" applyBorder="1" applyProtection="1">
      <alignment vertical="center"/>
    </xf>
    <xf numFmtId="38" fontId="15" fillId="7" borderId="31" xfId="1" applyFont="1" applyFill="1" applyBorder="1" applyProtection="1">
      <alignment vertical="center"/>
    </xf>
    <xf numFmtId="38" fontId="3" fillId="7" borderId="31" xfId="1" applyFont="1" applyFill="1" applyBorder="1" applyAlignment="1" applyProtection="1">
      <alignment vertical="center" shrinkToFit="1"/>
    </xf>
    <xf numFmtId="38" fontId="3" fillId="7" borderId="15" xfId="1" applyFont="1" applyFill="1" applyBorder="1" applyProtection="1">
      <alignment vertical="center"/>
    </xf>
    <xf numFmtId="38" fontId="9" fillId="7" borderId="31" xfId="1" applyFont="1" applyFill="1" applyBorder="1" applyAlignment="1" applyProtection="1">
      <alignment vertical="center" shrinkToFit="1"/>
    </xf>
    <xf numFmtId="38" fontId="15" fillId="7" borderId="14" xfId="1" applyFont="1" applyFill="1" applyBorder="1" applyAlignment="1" applyProtection="1">
      <alignment vertical="center" shrinkToFit="1"/>
    </xf>
    <xf numFmtId="38" fontId="3" fillId="7" borderId="0" xfId="1" applyFont="1" applyFill="1" applyBorder="1" applyProtection="1">
      <alignment vertical="center"/>
    </xf>
    <xf numFmtId="38" fontId="3" fillId="7" borderId="0" xfId="1" applyFont="1" applyFill="1" applyBorder="1" applyAlignment="1" applyProtection="1">
      <alignment vertical="center" shrinkToFit="1"/>
    </xf>
    <xf numFmtId="38" fontId="85" fillId="0" borderId="0" xfId="1" applyFont="1" applyFill="1" applyBorder="1" applyAlignment="1" applyProtection="1">
      <alignment horizontal="center" vertical="center"/>
    </xf>
    <xf numFmtId="49" fontId="3" fillId="3" borderId="0" xfId="0" applyNumberFormat="1" applyFont="1" applyFill="1" applyBorder="1" applyProtection="1">
      <alignment vertical="center"/>
    </xf>
    <xf numFmtId="49" fontId="3" fillId="7" borderId="0" xfId="0" applyNumberFormat="1" applyFont="1" applyFill="1" applyBorder="1" applyProtection="1">
      <alignment vertical="center"/>
    </xf>
    <xf numFmtId="38" fontId="9" fillId="3" borderId="0" xfId="1" applyFont="1" applyFill="1" applyBorder="1" applyAlignment="1" applyProtection="1">
      <alignment horizontal="center" vertical="center"/>
    </xf>
    <xf numFmtId="180" fontId="26" fillId="3" borderId="0" xfId="1" applyNumberFormat="1" applyFont="1" applyFill="1" applyBorder="1" applyAlignment="1" applyProtection="1">
      <alignment horizontal="center" vertical="center" wrapText="1"/>
    </xf>
    <xf numFmtId="38" fontId="49" fillId="3" borderId="0" xfId="1" applyFont="1" applyFill="1" applyBorder="1" applyProtection="1">
      <alignment vertical="center"/>
    </xf>
    <xf numFmtId="38" fontId="15" fillId="3" borderId="31" xfId="1" applyFont="1" applyFill="1" applyBorder="1" applyProtection="1">
      <alignment vertical="center"/>
    </xf>
    <xf numFmtId="38" fontId="10" fillId="3" borderId="0" xfId="1" applyFont="1" applyFill="1" applyBorder="1" applyAlignment="1" applyProtection="1">
      <alignment horizontal="left" vertical="center"/>
    </xf>
    <xf numFmtId="38" fontId="81" fillId="5" borderId="31" xfId="1" applyFont="1" applyFill="1" applyBorder="1">
      <alignment vertical="center"/>
    </xf>
    <xf numFmtId="38" fontId="81" fillId="5" borderId="14" xfId="1" applyFont="1" applyFill="1" applyBorder="1">
      <alignment vertical="center"/>
    </xf>
    <xf numFmtId="0" fontId="3" fillId="5" borderId="0" xfId="0" applyFont="1" applyFill="1" applyBorder="1" applyProtection="1">
      <alignment vertical="center"/>
    </xf>
    <xf numFmtId="38" fontId="9" fillId="5" borderId="0" xfId="1" applyFont="1" applyFill="1" applyBorder="1" applyProtection="1">
      <alignment vertical="center"/>
    </xf>
    <xf numFmtId="38" fontId="82" fillId="5" borderId="0" xfId="1" applyFont="1" applyFill="1">
      <alignment vertical="center"/>
    </xf>
    <xf numFmtId="38" fontId="77" fillId="5" borderId="0" xfId="1" applyFont="1" applyFill="1" applyBorder="1" applyAlignment="1" applyProtection="1">
      <alignment horizontal="center" vertical="center"/>
    </xf>
    <xf numFmtId="180" fontId="26" fillId="5" borderId="0" xfId="1" applyNumberFormat="1" applyFont="1" applyFill="1" applyBorder="1" applyAlignment="1" applyProtection="1">
      <alignment horizontal="center" vertical="center" wrapText="1"/>
    </xf>
    <xf numFmtId="38" fontId="49" fillId="5" borderId="0" xfId="1" applyFont="1" applyFill="1" applyBorder="1" applyProtection="1">
      <alignment vertical="center"/>
    </xf>
    <xf numFmtId="38" fontId="26" fillId="5" borderId="0" xfId="1" applyFont="1" applyFill="1" applyBorder="1" applyProtection="1">
      <alignment vertical="center"/>
    </xf>
    <xf numFmtId="38" fontId="87" fillId="7" borderId="0" xfId="1" applyFont="1" applyFill="1" applyBorder="1" applyProtection="1">
      <alignment vertical="center"/>
    </xf>
    <xf numFmtId="38" fontId="26" fillId="7" borderId="0" xfId="1" applyFont="1" applyFill="1" applyBorder="1" applyProtection="1">
      <alignment vertical="center"/>
    </xf>
    <xf numFmtId="38" fontId="87" fillId="7" borderId="0" xfId="1" applyFont="1" applyFill="1" applyBorder="1" applyAlignment="1" applyProtection="1">
      <alignment horizontal="left" vertical="center"/>
    </xf>
    <xf numFmtId="38" fontId="9" fillId="7" borderId="0" xfId="1" applyFont="1" applyFill="1" applyBorder="1" applyProtection="1">
      <alignment vertical="center"/>
    </xf>
    <xf numFmtId="38" fontId="81" fillId="7" borderId="31" xfId="1" applyFont="1" applyFill="1" applyBorder="1">
      <alignment vertical="center"/>
    </xf>
    <xf numFmtId="38" fontId="81" fillId="7" borderId="14" xfId="1" applyFont="1" applyFill="1" applyBorder="1">
      <alignment vertical="center"/>
    </xf>
    <xf numFmtId="38" fontId="3" fillId="7" borderId="15" xfId="1" applyFont="1" applyFill="1" applyBorder="1" applyAlignment="1" applyProtection="1">
      <alignment vertical="center" shrinkToFit="1"/>
    </xf>
    <xf numFmtId="180" fontId="26" fillId="7" borderId="0" xfId="1" applyNumberFormat="1" applyFont="1" applyFill="1" applyBorder="1" applyAlignment="1" applyProtection="1">
      <alignment horizontal="center" vertical="center" wrapText="1"/>
    </xf>
    <xf numFmtId="38" fontId="9" fillId="7" borderId="15" xfId="1" applyFont="1" applyFill="1" applyBorder="1" applyAlignment="1" applyProtection="1">
      <alignment vertical="center" shrinkToFit="1"/>
    </xf>
    <xf numFmtId="38" fontId="15" fillId="7" borderId="57" xfId="1" applyFont="1" applyFill="1" applyBorder="1" applyAlignment="1" applyProtection="1">
      <alignment vertical="center" shrinkToFit="1"/>
    </xf>
    <xf numFmtId="38" fontId="8" fillId="7" borderId="14" xfId="1" applyFont="1" applyFill="1" applyBorder="1" applyAlignment="1" applyProtection="1">
      <alignment vertical="center" shrinkToFit="1"/>
    </xf>
    <xf numFmtId="38" fontId="81" fillId="7" borderId="14" xfId="1" applyFont="1" applyFill="1" applyBorder="1" applyAlignment="1">
      <alignment horizontal="center" vertical="center"/>
    </xf>
    <xf numFmtId="38" fontId="15" fillId="7" borderId="0" xfId="1" applyFont="1" applyFill="1" applyBorder="1" applyProtection="1">
      <alignment vertical="center"/>
    </xf>
    <xf numFmtId="0" fontId="3" fillId="7" borderId="0" xfId="0" applyFont="1" applyFill="1" applyBorder="1" applyAlignment="1" applyProtection="1">
      <alignment vertical="center" shrinkToFit="1"/>
    </xf>
    <xf numFmtId="38" fontId="85" fillId="7" borderId="0" xfId="1" applyFont="1" applyFill="1" applyBorder="1" applyAlignment="1" applyProtection="1">
      <alignment horizontal="center" vertical="center"/>
    </xf>
    <xf numFmtId="0" fontId="0" fillId="0" borderId="0" xfId="0" applyFill="1" applyBorder="1" applyAlignment="1">
      <alignment vertical="center"/>
    </xf>
    <xf numFmtId="38" fontId="10" fillId="0" borderId="0" xfId="1" applyFont="1" applyFill="1" applyBorder="1" applyAlignment="1" applyProtection="1">
      <alignment horizontal="left" vertical="center"/>
    </xf>
    <xf numFmtId="38" fontId="87" fillId="0" borderId="0" xfId="1" applyFont="1" applyFill="1" applyBorder="1" applyAlignment="1" applyProtection="1">
      <alignment horizontal="left" vertical="center"/>
    </xf>
    <xf numFmtId="38" fontId="3" fillId="5" borderId="21" xfId="1" applyFont="1" applyFill="1" applyBorder="1" applyAlignment="1" applyProtection="1">
      <alignment vertical="center" shrinkToFit="1"/>
    </xf>
    <xf numFmtId="38" fontId="3" fillId="5" borderId="40" xfId="1" applyFont="1" applyFill="1" applyBorder="1" applyAlignment="1" applyProtection="1">
      <alignment vertical="center" shrinkToFit="1"/>
    </xf>
    <xf numFmtId="0" fontId="3" fillId="5" borderId="43" xfId="0" applyFont="1" applyFill="1" applyBorder="1" applyProtection="1">
      <alignment vertical="center"/>
    </xf>
    <xf numFmtId="38" fontId="3" fillId="5" borderId="50" xfId="1" applyFont="1" applyFill="1" applyBorder="1" applyProtection="1">
      <alignment vertical="center"/>
    </xf>
    <xf numFmtId="38" fontId="15" fillId="5" borderId="16" xfId="1" applyFont="1" applyFill="1" applyBorder="1" applyProtection="1">
      <alignment vertical="center"/>
    </xf>
    <xf numFmtId="38" fontId="3" fillId="5" borderId="13" xfId="1" applyFont="1" applyFill="1" applyBorder="1" applyProtection="1">
      <alignment vertical="center"/>
    </xf>
    <xf numFmtId="38" fontId="3" fillId="5" borderId="16" xfId="1" applyFont="1" applyFill="1" applyBorder="1" applyAlignment="1" applyProtection="1">
      <alignment vertical="center" shrinkToFit="1"/>
    </xf>
    <xf numFmtId="38" fontId="3" fillId="5" borderId="43" xfId="1" applyFont="1" applyFill="1" applyBorder="1" applyProtection="1">
      <alignment vertical="center"/>
    </xf>
    <xf numFmtId="38" fontId="3" fillId="5" borderId="4" xfId="1" applyFont="1" applyFill="1" applyBorder="1" applyAlignment="1" applyProtection="1">
      <alignment vertical="center" shrinkToFit="1"/>
    </xf>
    <xf numFmtId="38" fontId="3" fillId="5" borderId="26" xfId="1" applyFont="1" applyFill="1" applyBorder="1" applyProtection="1">
      <alignment vertical="center"/>
    </xf>
    <xf numFmtId="38" fontId="15" fillId="5" borderId="37" xfId="1" applyFont="1" applyFill="1" applyBorder="1" applyProtection="1">
      <alignment vertical="center"/>
    </xf>
    <xf numFmtId="38" fontId="3" fillId="5" borderId="37" xfId="1" applyFont="1" applyFill="1" applyBorder="1" applyAlignment="1" applyProtection="1">
      <alignment vertical="center" shrinkToFit="1"/>
    </xf>
    <xf numFmtId="38" fontId="3" fillId="5" borderId="58" xfId="1" applyFont="1" applyFill="1" applyBorder="1" applyAlignment="1" applyProtection="1">
      <alignment vertical="center" shrinkToFit="1"/>
    </xf>
    <xf numFmtId="38" fontId="3" fillId="3" borderId="21" xfId="1" applyFont="1" applyFill="1" applyBorder="1" applyAlignment="1" applyProtection="1">
      <alignment vertical="center" shrinkToFit="1"/>
    </xf>
    <xf numFmtId="38" fontId="3" fillId="3" borderId="40" xfId="1" applyFont="1" applyFill="1" applyBorder="1" applyAlignment="1" applyProtection="1">
      <alignment vertical="center" shrinkToFit="1"/>
    </xf>
    <xf numFmtId="49" fontId="3" fillId="3" borderId="43" xfId="0" applyNumberFormat="1" applyFont="1" applyFill="1" applyBorder="1" applyProtection="1">
      <alignment vertical="center"/>
    </xf>
    <xf numFmtId="38" fontId="8" fillId="3" borderId="51" xfId="1" applyFont="1" applyFill="1" applyBorder="1" applyAlignment="1" applyProtection="1">
      <alignment vertical="center" shrinkToFit="1"/>
    </xf>
    <xf numFmtId="38" fontId="15" fillId="3" borderId="16" xfId="1" applyFont="1" applyFill="1" applyBorder="1" applyAlignment="1" applyProtection="1">
      <alignment vertical="center" shrinkToFit="1"/>
    </xf>
    <xf numFmtId="38" fontId="3" fillId="3" borderId="43" xfId="1" applyFont="1" applyFill="1" applyBorder="1" applyProtection="1">
      <alignment vertical="center"/>
    </xf>
    <xf numFmtId="38" fontId="10" fillId="3" borderId="43" xfId="1" applyFont="1" applyFill="1" applyBorder="1" applyAlignment="1" applyProtection="1">
      <alignment horizontal="left" vertical="center"/>
    </xf>
    <xf numFmtId="38" fontId="3" fillId="3" borderId="4" xfId="1" applyFont="1" applyFill="1" applyBorder="1" applyAlignment="1" applyProtection="1">
      <alignment vertical="center" shrinkToFit="1"/>
    </xf>
    <xf numFmtId="38" fontId="9" fillId="3" borderId="4" xfId="1" applyFont="1" applyFill="1" applyBorder="1" applyProtection="1">
      <alignment vertical="center"/>
    </xf>
    <xf numFmtId="38" fontId="3" fillId="3" borderId="24" xfId="1" applyFont="1" applyFill="1" applyBorder="1" applyProtection="1">
      <alignment vertical="center"/>
    </xf>
    <xf numFmtId="38" fontId="3" fillId="3" borderId="12" xfId="1" applyFont="1" applyFill="1" applyBorder="1" applyProtection="1">
      <alignment vertical="center"/>
    </xf>
    <xf numFmtId="38" fontId="3" fillId="3" borderId="12" xfId="1" applyFont="1" applyFill="1" applyBorder="1" applyAlignment="1" applyProtection="1">
      <alignment vertical="center" shrinkToFit="1"/>
    </xf>
    <xf numFmtId="38" fontId="3" fillId="7" borderId="21" xfId="1" applyFont="1" applyFill="1" applyBorder="1" applyAlignment="1" applyProtection="1">
      <alignment vertical="center" shrinkToFit="1"/>
    </xf>
    <xf numFmtId="38" fontId="3" fillId="7" borderId="40" xfId="1" applyFont="1" applyFill="1" applyBorder="1" applyAlignment="1" applyProtection="1">
      <alignment vertical="center" shrinkToFit="1"/>
    </xf>
    <xf numFmtId="49" fontId="3" fillId="7" borderId="43" xfId="0" applyNumberFormat="1" applyFont="1" applyFill="1" applyBorder="1" applyProtection="1">
      <alignment vertical="center"/>
    </xf>
    <xf numFmtId="38" fontId="3" fillId="7" borderId="50" xfId="1" applyFont="1" applyFill="1" applyBorder="1" applyProtection="1">
      <alignment vertical="center"/>
    </xf>
    <xf numFmtId="38" fontId="15" fillId="7" borderId="16" xfId="1" applyFont="1" applyFill="1" applyBorder="1" applyProtection="1">
      <alignment vertical="center"/>
    </xf>
    <xf numFmtId="38" fontId="3" fillId="7" borderId="13" xfId="1" applyFont="1" applyFill="1" applyBorder="1" applyProtection="1">
      <alignment vertical="center"/>
    </xf>
    <xf numFmtId="38" fontId="8" fillId="7" borderId="51" xfId="1" applyFont="1" applyFill="1" applyBorder="1" applyAlignment="1" applyProtection="1">
      <alignment vertical="center" shrinkToFit="1"/>
    </xf>
    <xf numFmtId="38" fontId="15" fillId="7" borderId="16" xfId="1" applyFont="1" applyFill="1" applyBorder="1" applyAlignment="1" applyProtection="1">
      <alignment vertical="center" shrinkToFit="1"/>
    </xf>
    <xf numFmtId="38" fontId="3" fillId="7" borderId="43" xfId="1" applyFont="1" applyFill="1" applyBorder="1" applyProtection="1">
      <alignment vertical="center"/>
    </xf>
    <xf numFmtId="38" fontId="87" fillId="7" borderId="43" xfId="1" applyFont="1" applyFill="1" applyBorder="1" applyAlignment="1" applyProtection="1">
      <alignment horizontal="left" vertical="center"/>
    </xf>
    <xf numFmtId="38" fontId="3" fillId="7" borderId="4" xfId="1" applyFont="1" applyFill="1" applyBorder="1" applyAlignment="1" applyProtection="1">
      <alignment vertical="center" shrinkToFit="1"/>
    </xf>
    <xf numFmtId="49" fontId="3" fillId="0" borderId="0" xfId="0" applyNumberFormat="1" applyFont="1" applyFill="1" applyBorder="1" applyProtection="1">
      <alignment vertical="center"/>
    </xf>
    <xf numFmtId="38" fontId="3" fillId="0" borderId="31" xfId="1" applyFont="1" applyFill="1" applyBorder="1" applyAlignment="1" applyProtection="1">
      <alignment horizontal="left" vertical="center"/>
    </xf>
    <xf numFmtId="38" fontId="3" fillId="0" borderId="14" xfId="1" applyFont="1" applyFill="1" applyBorder="1" applyAlignment="1" applyProtection="1">
      <alignment horizontal="left" vertical="center"/>
    </xf>
    <xf numFmtId="38" fontId="9" fillId="0" borderId="31" xfId="1" applyFont="1" applyFill="1" applyBorder="1" applyProtection="1">
      <alignment vertical="center"/>
    </xf>
    <xf numFmtId="49" fontId="3" fillId="0" borderId="59" xfId="1" applyNumberFormat="1" applyFont="1" applyFill="1" applyBorder="1" applyProtection="1">
      <alignment vertical="center"/>
    </xf>
    <xf numFmtId="38" fontId="25" fillId="0" borderId="60" xfId="1" applyFont="1" applyFill="1" applyBorder="1" applyProtection="1">
      <alignment vertical="center"/>
    </xf>
    <xf numFmtId="38" fontId="3" fillId="0" borderId="60" xfId="1" applyFont="1" applyFill="1" applyBorder="1" applyProtection="1">
      <alignment vertical="center"/>
    </xf>
    <xf numFmtId="0" fontId="3" fillId="0" borderId="60" xfId="0" applyFont="1" applyFill="1" applyBorder="1" applyProtection="1">
      <alignment vertical="center"/>
    </xf>
    <xf numFmtId="0" fontId="3" fillId="0" borderId="61" xfId="0" applyFont="1" applyFill="1" applyBorder="1" applyProtection="1">
      <alignment vertical="center"/>
    </xf>
    <xf numFmtId="0" fontId="3" fillId="0" borderId="46" xfId="0" applyFont="1" applyFill="1" applyBorder="1" applyProtection="1">
      <alignment vertical="center"/>
    </xf>
    <xf numFmtId="38" fontId="3" fillId="0" borderId="62" xfId="1" applyFont="1" applyFill="1" applyBorder="1" applyProtection="1">
      <alignment vertical="center"/>
    </xf>
    <xf numFmtId="38" fontId="3" fillId="0" borderId="63" xfId="1" applyFont="1" applyFill="1" applyBorder="1" applyProtection="1">
      <alignment vertical="center"/>
    </xf>
    <xf numFmtId="38" fontId="3" fillId="0" borderId="64" xfId="1" applyFont="1" applyFill="1" applyBorder="1" applyProtection="1">
      <alignment vertical="center"/>
    </xf>
    <xf numFmtId="38" fontId="10" fillId="0" borderId="64" xfId="1" applyFont="1" applyFill="1" applyBorder="1" applyAlignment="1" applyProtection="1">
      <alignment horizontal="left" vertical="center"/>
    </xf>
    <xf numFmtId="38" fontId="3" fillId="0" borderId="65" xfId="1" applyFont="1" applyFill="1" applyBorder="1" applyProtection="1">
      <alignment vertical="center"/>
    </xf>
    <xf numFmtId="38" fontId="3" fillId="0" borderId="66" xfId="1" applyFont="1" applyFill="1" applyBorder="1" applyProtection="1">
      <alignment vertical="center"/>
    </xf>
    <xf numFmtId="0" fontId="3" fillId="0" borderId="66" xfId="0" applyFont="1" applyFill="1" applyBorder="1" applyProtection="1">
      <alignment vertical="center"/>
    </xf>
    <xf numFmtId="0" fontId="3" fillId="0" borderId="67" xfId="0" applyFont="1" applyFill="1" applyBorder="1" applyProtection="1">
      <alignment vertical="center"/>
    </xf>
    <xf numFmtId="38" fontId="3" fillId="0" borderId="59" xfId="1" applyFont="1" applyFill="1" applyBorder="1" applyProtection="1">
      <alignment vertical="center"/>
    </xf>
    <xf numFmtId="38" fontId="3" fillId="0" borderId="61" xfId="1" applyFont="1" applyFill="1" applyBorder="1" applyProtection="1">
      <alignment vertical="center"/>
    </xf>
    <xf numFmtId="38" fontId="15" fillId="0" borderId="68" xfId="1" applyFont="1" applyFill="1" applyBorder="1" applyProtection="1">
      <alignment vertical="center"/>
    </xf>
    <xf numFmtId="38" fontId="3" fillId="0" borderId="68" xfId="1" applyFont="1" applyFill="1" applyBorder="1" applyProtection="1">
      <alignment vertical="center"/>
    </xf>
    <xf numFmtId="38" fontId="3" fillId="0" borderId="46" xfId="1" applyFont="1" applyFill="1" applyBorder="1" applyProtection="1">
      <alignment vertical="center"/>
    </xf>
    <xf numFmtId="38" fontId="87" fillId="0" borderId="64" xfId="1" applyFont="1" applyFill="1" applyBorder="1" applyAlignment="1" applyProtection="1">
      <alignment horizontal="left" vertical="center"/>
    </xf>
    <xf numFmtId="38" fontId="3" fillId="0" borderId="67" xfId="1" applyFont="1" applyFill="1" applyBorder="1" applyProtection="1">
      <alignment vertical="center"/>
    </xf>
    <xf numFmtId="38" fontId="8" fillId="0" borderId="17" xfId="1" applyFont="1" applyFill="1" applyBorder="1" applyAlignment="1" applyProtection="1">
      <alignment vertical="center" shrinkToFit="1"/>
    </xf>
    <xf numFmtId="0" fontId="77" fillId="0" borderId="0" xfId="0" applyFont="1" applyFill="1" applyBorder="1" applyAlignment="1" applyProtection="1">
      <alignment horizontal="center" vertical="center"/>
    </xf>
    <xf numFmtId="38" fontId="8" fillId="3" borderId="4" xfId="1" applyFont="1" applyFill="1" applyBorder="1" applyAlignment="1" applyProtection="1">
      <alignment horizontal="center" vertical="center" shrinkToFit="1"/>
    </xf>
    <xf numFmtId="38" fontId="8" fillId="3" borderId="25" xfId="1" applyFont="1" applyFill="1" applyBorder="1" applyAlignment="1" applyProtection="1">
      <alignment horizontal="center" vertical="center" shrinkToFit="1"/>
    </xf>
    <xf numFmtId="38" fontId="8" fillId="7" borderId="4" xfId="1" applyFont="1" applyFill="1" applyBorder="1" applyAlignment="1" applyProtection="1">
      <alignment horizontal="center" vertical="center" shrinkToFit="1"/>
    </xf>
    <xf numFmtId="38" fontId="8" fillId="7" borderId="0" xfId="1" applyFont="1" applyFill="1" applyBorder="1" applyProtection="1">
      <alignment vertical="center"/>
    </xf>
    <xf numFmtId="38" fontId="89" fillId="5" borderId="0" xfId="1" applyFont="1" applyFill="1" applyAlignment="1">
      <alignment horizontal="center" vertical="center"/>
    </xf>
    <xf numFmtId="38" fontId="90" fillId="5" borderId="0" xfId="1" applyFont="1" applyFill="1" applyAlignment="1">
      <alignment horizontal="center" vertical="center"/>
    </xf>
    <xf numFmtId="38" fontId="15" fillId="0" borderId="40" xfId="1" applyFont="1" applyFill="1" applyBorder="1" applyProtection="1">
      <alignment vertical="center"/>
    </xf>
    <xf numFmtId="38" fontId="8" fillId="0" borderId="7" xfId="1" applyFont="1" applyFill="1" applyBorder="1" applyProtection="1">
      <alignment vertical="center"/>
    </xf>
    <xf numFmtId="38" fontId="3" fillId="0" borderId="4" xfId="1" applyFont="1" applyFill="1" applyBorder="1" applyProtection="1">
      <alignment vertical="center"/>
    </xf>
    <xf numFmtId="38" fontId="3" fillId="0" borderId="69" xfId="1" applyFont="1" applyFill="1" applyBorder="1" applyProtection="1">
      <alignment vertical="center"/>
    </xf>
    <xf numFmtId="38" fontId="15" fillId="0" borderId="70" xfId="1" applyFont="1" applyFill="1" applyBorder="1" applyProtection="1">
      <alignment vertical="center"/>
    </xf>
    <xf numFmtId="38" fontId="3" fillId="0" borderId="71" xfId="1" applyFont="1" applyFill="1" applyBorder="1" applyProtection="1">
      <alignment vertical="center"/>
    </xf>
    <xf numFmtId="38" fontId="15" fillId="0" borderId="72" xfId="1" applyFont="1" applyFill="1" applyBorder="1" applyProtection="1">
      <alignment vertical="center"/>
    </xf>
    <xf numFmtId="38" fontId="15" fillId="0" borderId="9" xfId="1" applyFont="1" applyFill="1" applyBorder="1" applyAlignment="1" applyProtection="1">
      <alignment horizontal="center" vertical="center"/>
    </xf>
    <xf numFmtId="38" fontId="15" fillId="0" borderId="11" xfId="1" applyFont="1" applyFill="1" applyBorder="1" applyAlignment="1" applyProtection="1">
      <alignment horizontal="center" vertical="center"/>
    </xf>
    <xf numFmtId="38" fontId="15" fillId="0" borderId="14" xfId="1" applyFont="1" applyFill="1" applyBorder="1" applyAlignment="1" applyProtection="1">
      <alignment horizontal="center" vertical="center"/>
    </xf>
    <xf numFmtId="38" fontId="15" fillId="0" borderId="16" xfId="1" applyFont="1" applyFill="1" applyBorder="1" applyAlignment="1" applyProtection="1">
      <alignment horizontal="center" vertical="center"/>
    </xf>
    <xf numFmtId="38" fontId="15" fillId="0" borderId="27" xfId="1" applyFont="1" applyFill="1" applyBorder="1" applyAlignment="1" applyProtection="1">
      <alignment horizontal="center" vertical="center"/>
    </xf>
    <xf numFmtId="38" fontId="9" fillId="6" borderId="0" xfId="1" applyFont="1" applyFill="1" applyBorder="1" applyProtection="1">
      <alignment vertical="center"/>
    </xf>
    <xf numFmtId="38" fontId="3" fillId="6" borderId="0" xfId="1" applyFont="1" applyFill="1" applyBorder="1" applyProtection="1">
      <alignment vertical="center"/>
    </xf>
    <xf numFmtId="38" fontId="3" fillId="6" borderId="0" xfId="1" applyFont="1" applyFill="1" applyBorder="1" applyAlignment="1" applyProtection="1">
      <alignment vertical="center" shrinkToFit="1"/>
    </xf>
    <xf numFmtId="38" fontId="49" fillId="8" borderId="73" xfId="1" applyFont="1" applyFill="1" applyBorder="1" applyAlignment="1" applyProtection="1">
      <alignment horizontal="center" vertical="center"/>
    </xf>
    <xf numFmtId="38" fontId="15" fillId="0" borderId="0" xfId="1" applyFont="1" applyFill="1" applyBorder="1" applyAlignment="1" applyProtection="1">
      <alignment horizontal="center" vertical="center"/>
    </xf>
    <xf numFmtId="38" fontId="15" fillId="0" borderId="74" xfId="1" applyFont="1" applyFill="1" applyBorder="1" applyAlignment="1" applyProtection="1">
      <alignment horizontal="center" vertical="center"/>
    </xf>
    <xf numFmtId="38" fontId="3" fillId="0" borderId="35" xfId="1" applyFont="1" applyFill="1" applyBorder="1" applyAlignment="1" applyProtection="1">
      <alignment horizontal="center" vertical="center"/>
    </xf>
    <xf numFmtId="38" fontId="3" fillId="0" borderId="23" xfId="1" applyFont="1" applyFill="1" applyBorder="1" applyProtection="1">
      <alignment vertical="center"/>
    </xf>
    <xf numFmtId="38" fontId="5" fillId="0" borderId="23" xfId="1" applyFont="1" applyFill="1" applyBorder="1" applyAlignment="1" applyProtection="1">
      <alignment horizontal="left" vertical="center"/>
    </xf>
    <xf numFmtId="38" fontId="15" fillId="0" borderId="23" xfId="1" applyFont="1" applyFill="1" applyBorder="1" applyProtection="1">
      <alignment vertical="center"/>
    </xf>
    <xf numFmtId="38" fontId="3" fillId="0" borderId="34" xfId="1" applyFont="1" applyFill="1" applyBorder="1" applyProtection="1">
      <alignment vertical="center"/>
    </xf>
    <xf numFmtId="38" fontId="15" fillId="0" borderId="25" xfId="1" applyFont="1" applyFill="1" applyBorder="1" applyProtection="1">
      <alignment vertical="center"/>
    </xf>
    <xf numFmtId="38" fontId="15" fillId="0" borderId="75" xfId="1" applyFont="1" applyFill="1" applyBorder="1" applyAlignment="1" applyProtection="1">
      <alignment horizontal="center" vertical="center"/>
    </xf>
    <xf numFmtId="38" fontId="15" fillId="0" borderId="76" xfId="1" applyFont="1" applyFill="1" applyBorder="1" applyAlignment="1" applyProtection="1">
      <alignment horizontal="center" vertical="center"/>
    </xf>
    <xf numFmtId="38" fontId="15" fillId="0" borderId="7" xfId="1" applyFont="1" applyFill="1" applyBorder="1" applyProtection="1">
      <alignment vertical="center"/>
    </xf>
    <xf numFmtId="38" fontId="15" fillId="0" borderId="19" xfId="1" applyFont="1" applyFill="1" applyBorder="1" applyAlignment="1" applyProtection="1">
      <alignment horizontal="center" vertical="center"/>
    </xf>
    <xf numFmtId="38" fontId="18" fillId="0" borderId="23" xfId="1" applyFont="1" applyFill="1" applyBorder="1" applyProtection="1">
      <alignment vertical="center"/>
    </xf>
    <xf numFmtId="38" fontId="15" fillId="0" borderId="77" xfId="1" applyFont="1" applyFill="1" applyBorder="1" applyAlignment="1" applyProtection="1">
      <alignment horizontal="center" vertical="center"/>
    </xf>
    <xf numFmtId="38" fontId="15" fillId="0" borderId="78" xfId="1" applyFont="1" applyFill="1" applyBorder="1" applyAlignment="1" applyProtection="1">
      <alignment horizontal="center" vertical="center"/>
    </xf>
    <xf numFmtId="180" fontId="21" fillId="0" borderId="79" xfId="1" applyNumberFormat="1" applyFont="1" applyFill="1" applyBorder="1" applyAlignment="1" applyProtection="1">
      <alignment horizontal="center" vertical="center" wrapText="1"/>
    </xf>
    <xf numFmtId="38" fontId="18" fillId="0" borderId="80" xfId="1" applyFont="1" applyFill="1" applyBorder="1" applyAlignment="1" applyProtection="1">
      <alignment horizontal="center" vertical="center"/>
    </xf>
    <xf numFmtId="38" fontId="18" fillId="0" borderId="81" xfId="1" applyFont="1" applyFill="1" applyBorder="1" applyAlignment="1" applyProtection="1">
      <alignment horizontal="center" vertical="center"/>
    </xf>
    <xf numFmtId="38" fontId="18" fillId="0" borderId="82" xfId="1" applyFont="1" applyFill="1" applyBorder="1" applyAlignment="1" applyProtection="1">
      <alignment horizontal="center" vertical="center"/>
    </xf>
    <xf numFmtId="38" fontId="18" fillId="0" borderId="83" xfId="1" applyFont="1" applyFill="1" applyBorder="1" applyAlignment="1" applyProtection="1">
      <alignment horizontal="center" vertical="center"/>
    </xf>
    <xf numFmtId="38" fontId="92" fillId="0" borderId="84" xfId="1" applyFont="1" applyFill="1" applyBorder="1" applyAlignment="1" applyProtection="1">
      <alignment horizontal="center" vertical="center"/>
    </xf>
    <xf numFmtId="38" fontId="92" fillId="0" borderId="83" xfId="1" applyFont="1" applyFill="1" applyBorder="1" applyAlignment="1" applyProtection="1">
      <alignment horizontal="center" vertical="center"/>
    </xf>
    <xf numFmtId="38" fontId="0" fillId="0" borderId="0" xfId="1" applyFont="1">
      <alignment vertical="center"/>
    </xf>
    <xf numFmtId="38" fontId="0" fillId="0" borderId="0" xfId="1" applyFont="1" applyAlignment="1"/>
    <xf numFmtId="38" fontId="95" fillId="0" borderId="0" xfId="1" applyFont="1">
      <alignment vertical="center"/>
    </xf>
    <xf numFmtId="38" fontId="0" fillId="0" borderId="0" xfId="1" applyFont="1" applyAlignment="1">
      <alignment horizontal="center" vertical="center"/>
    </xf>
    <xf numFmtId="38" fontId="93" fillId="0" borderId="85" xfId="1" applyFont="1" applyBorder="1" applyAlignment="1">
      <alignment vertical="center" shrinkToFit="1"/>
    </xf>
    <xf numFmtId="38" fontId="1" fillId="9" borderId="86" xfId="1" applyFont="1" applyFill="1" applyBorder="1" applyAlignment="1">
      <alignment vertical="center" shrinkToFit="1"/>
    </xf>
    <xf numFmtId="38" fontId="93" fillId="0" borderId="86" xfId="1" applyFont="1" applyBorder="1" applyAlignment="1">
      <alignment horizontal="right" vertical="center" shrinkToFit="1"/>
    </xf>
    <xf numFmtId="38" fontId="95" fillId="0" borderId="0" xfId="1" applyFont="1" applyBorder="1" applyAlignment="1">
      <alignment horizontal="right" vertical="center" shrinkToFit="1"/>
    </xf>
    <xf numFmtId="38" fontId="95" fillId="0" borderId="87" xfId="1" applyFont="1" applyBorder="1">
      <alignment vertical="center"/>
    </xf>
    <xf numFmtId="38" fontId="95" fillId="0" borderId="88" xfId="1" applyFont="1" applyBorder="1">
      <alignment vertical="center"/>
    </xf>
    <xf numFmtId="38" fontId="0" fillId="0" borderId="89" xfId="1" applyFont="1" applyBorder="1">
      <alignment vertical="center"/>
    </xf>
    <xf numFmtId="38" fontId="95" fillId="0" borderId="89" xfId="1" applyFont="1" applyBorder="1" applyAlignment="1">
      <alignment horizontal="left" vertical="top"/>
    </xf>
    <xf numFmtId="38" fontId="0" fillId="0" borderId="90" xfId="1" applyFont="1" applyBorder="1">
      <alignment vertical="center"/>
    </xf>
    <xf numFmtId="38" fontId="94" fillId="0" borderId="0" xfId="1" applyFont="1" applyAlignment="1">
      <alignment vertical="top"/>
    </xf>
    <xf numFmtId="0" fontId="64" fillId="0" borderId="0" xfId="0" applyFont="1" applyFill="1" applyAlignment="1" applyProtection="1">
      <alignment vertical="center"/>
    </xf>
    <xf numFmtId="0" fontId="64" fillId="0" borderId="0" xfId="0" applyFont="1" applyFill="1" applyBorder="1" applyAlignment="1" applyProtection="1">
      <alignment vertical="center"/>
    </xf>
    <xf numFmtId="0" fontId="108" fillId="0" borderId="246" xfId="0" applyFont="1" applyFill="1" applyBorder="1" applyAlignment="1" applyProtection="1">
      <alignment vertical="center"/>
    </xf>
    <xf numFmtId="0" fontId="98" fillId="0" borderId="247" xfId="0" applyFont="1" applyFill="1" applyBorder="1" applyAlignment="1" applyProtection="1">
      <alignment vertical="center" shrinkToFit="1"/>
    </xf>
    <xf numFmtId="38" fontId="36" fillId="0" borderId="69" xfId="0" applyNumberFormat="1" applyFont="1" applyFill="1" applyBorder="1" applyAlignment="1" applyProtection="1">
      <alignment horizontal="center" vertical="center" wrapText="1"/>
    </xf>
    <xf numFmtId="0" fontId="3" fillId="0" borderId="69" xfId="0" applyFont="1" applyFill="1" applyBorder="1" applyProtection="1">
      <alignment vertical="center"/>
    </xf>
    <xf numFmtId="0" fontId="3" fillId="0" borderId="70" xfId="0" applyFont="1" applyFill="1" applyBorder="1" applyAlignment="1" applyProtection="1">
      <alignment horizontal="center" vertical="center"/>
    </xf>
    <xf numFmtId="0" fontId="36" fillId="0" borderId="92" xfId="0" applyFont="1" applyFill="1" applyBorder="1" applyAlignment="1" applyProtection="1">
      <alignment horizontal="center" vertical="center"/>
    </xf>
    <xf numFmtId="0" fontId="36" fillId="0" borderId="71" xfId="0" applyFont="1" applyFill="1" applyBorder="1" applyAlignment="1" applyProtection="1">
      <alignment horizontal="center" vertical="center"/>
    </xf>
    <xf numFmtId="0" fontId="3" fillId="0" borderId="71" xfId="0" applyFont="1" applyFill="1" applyBorder="1" applyProtection="1">
      <alignment vertical="center"/>
    </xf>
    <xf numFmtId="38" fontId="3" fillId="0" borderId="72" xfId="0" applyNumberFormat="1" applyFont="1" applyFill="1" applyBorder="1" applyProtection="1">
      <alignment vertical="center"/>
    </xf>
    <xf numFmtId="0" fontId="36" fillId="0" borderId="93" xfId="0" applyFont="1" applyFill="1" applyBorder="1" applyAlignment="1" applyProtection="1">
      <alignment horizontal="center" vertical="center"/>
    </xf>
    <xf numFmtId="0" fontId="36" fillId="0" borderId="94" xfId="0" applyFont="1" applyFill="1" applyBorder="1" applyAlignment="1" applyProtection="1">
      <alignment horizontal="center" vertical="center"/>
    </xf>
    <xf numFmtId="0" fontId="3" fillId="0" borderId="94" xfId="0" applyFont="1" applyFill="1" applyBorder="1" applyProtection="1">
      <alignment vertical="center"/>
    </xf>
    <xf numFmtId="0" fontId="3" fillId="0" borderId="95" xfId="0" applyFont="1" applyFill="1" applyBorder="1" applyProtection="1">
      <alignment vertical="center"/>
    </xf>
    <xf numFmtId="38" fontId="101" fillId="0" borderId="0" xfId="1" applyFont="1" applyAlignment="1">
      <alignment vertical="center"/>
    </xf>
    <xf numFmtId="38" fontId="0" fillId="0" borderId="12" xfId="1" applyFont="1" applyBorder="1" applyAlignment="1"/>
    <xf numFmtId="38" fontId="84" fillId="0" borderId="12" xfId="1" applyFont="1" applyBorder="1" applyAlignment="1"/>
    <xf numFmtId="38" fontId="101" fillId="0" borderId="96" xfId="1" applyFont="1" applyBorder="1" applyAlignment="1">
      <alignment vertical="center"/>
    </xf>
    <xf numFmtId="38" fontId="101" fillId="0" borderId="97" xfId="1" applyFont="1" applyBorder="1" applyAlignment="1">
      <alignment vertical="center"/>
    </xf>
    <xf numFmtId="38" fontId="101" fillId="0" borderId="98" xfId="1" applyFont="1" applyBorder="1" applyAlignment="1">
      <alignment vertical="center"/>
    </xf>
    <xf numFmtId="38" fontId="0" fillId="0" borderId="24" xfId="1" applyFont="1" applyBorder="1">
      <alignment vertical="center"/>
    </xf>
    <xf numFmtId="38" fontId="0" fillId="0" borderId="12" xfId="1" applyFont="1" applyBorder="1">
      <alignment vertical="center"/>
    </xf>
    <xf numFmtId="38" fontId="0" fillId="0" borderId="25" xfId="1" applyFont="1" applyBorder="1">
      <alignment vertical="center"/>
    </xf>
    <xf numFmtId="38" fontId="101" fillId="0" borderId="99" xfId="1" applyFont="1" applyBorder="1" applyAlignment="1">
      <alignment vertical="center"/>
    </xf>
    <xf numFmtId="38" fontId="0" fillId="0" borderId="100" xfId="1" applyFont="1" applyBorder="1">
      <alignment vertical="center"/>
    </xf>
    <xf numFmtId="38" fontId="101" fillId="0" borderId="0" xfId="1" applyFont="1">
      <alignment vertical="center"/>
    </xf>
    <xf numFmtId="38" fontId="94" fillId="0" borderId="85" xfId="1" applyFont="1" applyFill="1" applyBorder="1" applyAlignment="1">
      <alignment vertical="center"/>
    </xf>
    <xf numFmtId="38" fontId="96" fillId="0" borderId="0" xfId="1" applyFont="1">
      <alignment vertical="center"/>
    </xf>
    <xf numFmtId="38" fontId="110" fillId="0" borderId="248" xfId="1" applyFont="1" applyFill="1" applyBorder="1" applyAlignment="1" applyProtection="1">
      <alignment vertical="center" shrinkToFit="1"/>
      <protection locked="0"/>
    </xf>
    <xf numFmtId="0" fontId="103" fillId="0" borderId="24" xfId="0" applyFont="1" applyFill="1" applyBorder="1" applyProtection="1">
      <alignment vertical="center"/>
    </xf>
    <xf numFmtId="0" fontId="103" fillId="0" borderId="43" xfId="0" applyFont="1" applyFill="1" applyBorder="1" applyProtection="1">
      <alignment vertical="center"/>
    </xf>
    <xf numFmtId="0" fontId="111" fillId="0" borderId="0" xfId="0" applyFont="1" applyFill="1" applyBorder="1">
      <alignment vertical="center"/>
    </xf>
    <xf numFmtId="0" fontId="111" fillId="0" borderId="0" xfId="0" applyFont="1" applyFill="1" applyBorder="1" applyAlignment="1">
      <alignment horizontal="center" vertical="center"/>
    </xf>
    <xf numFmtId="0" fontId="112" fillId="0" borderId="0" xfId="0" applyFont="1" applyFill="1" applyBorder="1">
      <alignment vertical="center"/>
    </xf>
    <xf numFmtId="0" fontId="112" fillId="0" borderId="0" xfId="0" applyFont="1" applyFill="1" applyBorder="1" applyAlignment="1">
      <alignment horizontal="center" vertical="center"/>
    </xf>
    <xf numFmtId="0" fontId="112" fillId="0" borderId="17" xfId="0" applyFont="1" applyFill="1" applyBorder="1" applyAlignment="1">
      <alignment vertical="center" wrapText="1"/>
    </xf>
    <xf numFmtId="0" fontId="112" fillId="0" borderId="17" xfId="0" applyFont="1" applyFill="1" applyBorder="1" applyAlignment="1">
      <alignment horizontal="center" vertical="center"/>
    </xf>
    <xf numFmtId="0" fontId="112" fillId="0" borderId="32" xfId="0" applyFont="1" applyFill="1" applyBorder="1" applyAlignment="1">
      <alignment horizontal="center" vertical="center" wrapText="1"/>
    </xf>
    <xf numFmtId="0" fontId="112" fillId="0" borderId="32" xfId="0" applyFont="1" applyFill="1" applyBorder="1" applyAlignment="1">
      <alignment vertical="center" wrapText="1"/>
    </xf>
    <xf numFmtId="0" fontId="113" fillId="0" borderId="73" xfId="0" applyFont="1" applyFill="1" applyBorder="1">
      <alignment vertical="center"/>
    </xf>
    <xf numFmtId="0" fontId="112" fillId="0" borderId="17" xfId="0" applyFont="1" applyFill="1" applyBorder="1" applyAlignment="1">
      <alignment horizontal="center" vertical="center"/>
    </xf>
    <xf numFmtId="0" fontId="114" fillId="0" borderId="101" xfId="0" applyFont="1" applyFill="1" applyBorder="1" applyProtection="1">
      <alignment vertical="center"/>
    </xf>
    <xf numFmtId="0" fontId="111" fillId="0" borderId="102" xfId="0" applyFont="1" applyFill="1" applyBorder="1">
      <alignment vertical="center"/>
    </xf>
    <xf numFmtId="0" fontId="111" fillId="0" borderId="103" xfId="0" applyFont="1" applyFill="1" applyBorder="1">
      <alignment vertical="center"/>
    </xf>
    <xf numFmtId="0" fontId="114" fillId="0" borderId="104" xfId="0" applyFont="1" applyFill="1" applyBorder="1" applyProtection="1">
      <alignment vertical="center"/>
    </xf>
    <xf numFmtId="0" fontId="111" fillId="0" borderId="105" xfId="0" applyFont="1" applyFill="1" applyBorder="1">
      <alignment vertical="center"/>
    </xf>
    <xf numFmtId="0" fontId="114" fillId="0" borderId="106" xfId="0" applyFont="1" applyFill="1" applyBorder="1" applyProtection="1">
      <alignment vertical="center"/>
    </xf>
    <xf numFmtId="0" fontId="111" fillId="0" borderId="107" xfId="0" applyFont="1" applyFill="1" applyBorder="1">
      <alignment vertical="center"/>
    </xf>
    <xf numFmtId="0" fontId="111" fillId="0" borderId="108" xfId="0" applyFont="1" applyFill="1" applyBorder="1">
      <alignment vertical="center"/>
    </xf>
    <xf numFmtId="38" fontId="0" fillId="0" borderId="0" xfId="1" applyFont="1" applyProtection="1">
      <alignment vertical="center"/>
      <protection locked="0"/>
    </xf>
    <xf numFmtId="0" fontId="115" fillId="11" borderId="0" xfId="0" applyFont="1" applyFill="1" applyBorder="1">
      <alignment vertical="center"/>
    </xf>
    <xf numFmtId="0" fontId="112" fillId="11" borderId="0" xfId="0" applyFont="1" applyFill="1" applyBorder="1">
      <alignment vertical="center"/>
    </xf>
    <xf numFmtId="38" fontId="18" fillId="0" borderId="19" xfId="1" applyFont="1" applyFill="1" applyBorder="1" applyProtection="1">
      <alignment vertical="center"/>
    </xf>
    <xf numFmtId="38" fontId="116" fillId="0" borderId="17" xfId="1" applyFont="1" applyFill="1" applyBorder="1" applyProtection="1">
      <alignment vertical="center"/>
    </xf>
    <xf numFmtId="0" fontId="117" fillId="0" borderId="0" xfId="0" applyFont="1" applyFill="1" applyBorder="1" applyProtection="1">
      <alignment vertical="center"/>
    </xf>
    <xf numFmtId="38" fontId="116" fillId="0" borderId="0" xfId="1" applyFont="1" applyFill="1" applyBorder="1" applyAlignment="1" applyProtection="1">
      <alignment horizontal="right" vertical="center"/>
    </xf>
    <xf numFmtId="0" fontId="55"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118" fillId="0" borderId="0" xfId="0" applyFont="1" applyFill="1" applyBorder="1" applyAlignment="1" applyProtection="1">
      <alignment vertical="center"/>
    </xf>
    <xf numFmtId="38" fontId="101" fillId="0" borderId="0" xfId="1" applyFont="1" applyAlignment="1">
      <alignment vertical="top" wrapText="1"/>
    </xf>
    <xf numFmtId="38" fontId="116" fillId="0" borderId="254" xfId="1" applyFont="1" applyFill="1" applyBorder="1" applyProtection="1">
      <alignment vertical="center"/>
    </xf>
    <xf numFmtId="38" fontId="126" fillId="0" borderId="254" xfId="1" applyFont="1" applyFill="1" applyBorder="1" applyProtection="1">
      <alignment vertical="center"/>
    </xf>
    <xf numFmtId="0" fontId="126" fillId="0" borderId="254" xfId="1" applyNumberFormat="1" applyFont="1" applyFill="1" applyBorder="1" applyProtection="1">
      <alignment vertical="center"/>
    </xf>
    <xf numFmtId="38" fontId="124" fillId="0" borderId="0" xfId="1" applyFont="1" applyFill="1" applyProtection="1">
      <alignment vertical="center"/>
    </xf>
    <xf numFmtId="38" fontId="124" fillId="0" borderId="0" xfId="1" applyFont="1" applyFill="1" applyBorder="1" applyProtection="1">
      <alignment vertical="center"/>
    </xf>
    <xf numFmtId="0" fontId="84" fillId="0" borderId="0" xfId="0" applyFont="1">
      <alignment vertical="center"/>
    </xf>
    <xf numFmtId="0" fontId="107" fillId="0" borderId="17" xfId="0" applyFont="1" applyBorder="1" applyAlignment="1">
      <alignment horizontal="center" vertical="center" wrapText="1"/>
    </xf>
    <xf numFmtId="0" fontId="112" fillId="10" borderId="17" xfId="1" applyNumberFormat="1" applyFont="1" applyFill="1" applyBorder="1">
      <alignment vertical="center"/>
    </xf>
    <xf numFmtId="0" fontId="112" fillId="10" borderId="7" xfId="1" applyNumberFormat="1" applyFont="1" applyFill="1" applyBorder="1">
      <alignment vertical="center"/>
    </xf>
    <xf numFmtId="0" fontId="84" fillId="0" borderId="0" xfId="0" applyFont="1" applyAlignment="1">
      <alignment vertical="center" wrapText="1"/>
    </xf>
    <xf numFmtId="0" fontId="129" fillId="0" borderId="32" xfId="0" applyFont="1" applyFill="1" applyBorder="1" applyAlignment="1">
      <alignment vertical="center"/>
    </xf>
    <xf numFmtId="0" fontId="129" fillId="0" borderId="17" xfId="0" applyFont="1" applyFill="1" applyBorder="1" applyAlignment="1">
      <alignment horizontal="center" vertical="center"/>
    </xf>
    <xf numFmtId="0" fontId="129" fillId="0" borderId="47" xfId="0" applyFont="1" applyFill="1" applyBorder="1" applyAlignment="1">
      <alignment vertical="center"/>
    </xf>
    <xf numFmtId="0" fontId="129" fillId="0" borderId="48" xfId="0" applyFont="1" applyFill="1" applyBorder="1" applyAlignment="1">
      <alignment vertical="center"/>
    </xf>
    <xf numFmtId="0" fontId="129" fillId="0" borderId="17" xfId="0" applyFont="1" applyFill="1" applyBorder="1" applyAlignment="1">
      <alignment vertical="center"/>
    </xf>
    <xf numFmtId="38" fontId="130" fillId="0" borderId="0" xfId="1" applyFont="1">
      <alignment vertical="center"/>
    </xf>
    <xf numFmtId="38" fontId="27" fillId="0" borderId="0" xfId="1" applyFont="1">
      <alignment vertical="center"/>
    </xf>
    <xf numFmtId="38" fontId="13" fillId="0" borderId="0" xfId="1" applyFont="1">
      <alignment vertical="center"/>
    </xf>
    <xf numFmtId="38" fontId="94" fillId="0" borderId="0" xfId="1" applyFont="1">
      <alignment vertical="center"/>
    </xf>
    <xf numFmtId="38" fontId="95" fillId="0" borderId="0" xfId="1" applyFont="1" applyAlignment="1">
      <alignment horizontal="left" vertical="center"/>
    </xf>
    <xf numFmtId="38" fontId="132" fillId="0" borderId="0" xfId="1" applyFont="1" applyAlignment="1">
      <alignment horizontal="left" vertical="center"/>
    </xf>
    <xf numFmtId="3" fontId="3" fillId="0" borderId="0" xfId="0" applyNumberFormat="1" applyFont="1" applyFill="1" applyBorder="1" applyAlignment="1" applyProtection="1">
      <alignment vertical="center"/>
    </xf>
    <xf numFmtId="38" fontId="110" fillId="0" borderId="255" xfId="1" applyFont="1" applyFill="1" applyBorder="1" applyAlignment="1" applyProtection="1">
      <alignment horizontal="right" vertical="center" shrinkToFit="1"/>
      <protection locked="0"/>
    </xf>
    <xf numFmtId="0" fontId="109" fillId="0" borderId="9" xfId="0" applyFont="1" applyFill="1" applyBorder="1" applyAlignment="1" applyProtection="1">
      <alignment horizontal="left" vertical="center"/>
    </xf>
    <xf numFmtId="0" fontId="36" fillId="0" borderId="14" xfId="0" applyFont="1" applyFill="1" applyBorder="1" applyAlignment="1" applyProtection="1">
      <alignment horizontal="center" vertical="center"/>
    </xf>
    <xf numFmtId="0" fontId="98" fillId="0" borderId="256" xfId="0" applyFont="1" applyFill="1" applyBorder="1" applyAlignment="1" applyProtection="1">
      <alignment horizontal="left" vertical="center" shrinkToFit="1"/>
    </xf>
    <xf numFmtId="38" fontId="93" fillId="0" borderId="0" xfId="1" applyFont="1" applyBorder="1" applyAlignment="1">
      <alignment horizontal="left" vertical="center"/>
    </xf>
    <xf numFmtId="38" fontId="133" fillId="0" borderId="0" xfId="1" applyFont="1" applyBorder="1" applyAlignment="1">
      <alignment vertical="center"/>
    </xf>
    <xf numFmtId="38" fontId="93" fillId="0" borderId="0" xfId="1" applyFont="1" applyAlignment="1">
      <alignment horizontal="left" vertical="center"/>
    </xf>
    <xf numFmtId="38" fontId="93" fillId="0" borderId="0" xfId="1" applyFont="1">
      <alignment vertical="center"/>
    </xf>
    <xf numFmtId="38" fontId="93" fillId="0" borderId="107" xfId="1" applyFont="1" applyBorder="1" applyAlignment="1">
      <alignment horizontal="left" vertical="center"/>
    </xf>
    <xf numFmtId="38" fontId="13" fillId="0" borderId="0" xfId="1" applyFont="1" applyAlignment="1">
      <alignment horizontal="distributed" vertical="center"/>
    </xf>
    <xf numFmtId="38" fontId="131" fillId="0" borderId="0" xfId="1" applyFont="1">
      <alignment vertical="center"/>
    </xf>
    <xf numFmtId="0" fontId="107" fillId="0" borderId="0" xfId="0" applyFont="1" applyFill="1" applyBorder="1">
      <alignment vertical="center"/>
    </xf>
    <xf numFmtId="0" fontId="4" fillId="0" borderId="17" xfId="0" applyFont="1" applyBorder="1" applyAlignment="1">
      <alignment horizontal="center" vertical="center"/>
    </xf>
    <xf numFmtId="3" fontId="4" fillId="0" borderId="17" xfId="0" applyNumberFormat="1" applyFont="1" applyBorder="1" applyAlignment="1">
      <alignment horizontal="center" vertical="center"/>
    </xf>
    <xf numFmtId="0" fontId="3" fillId="0" borderId="2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38" fontId="3" fillId="0" borderId="17" xfId="1"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38" fontId="20" fillId="0" borderId="0" xfId="1" applyFont="1" applyFill="1" applyBorder="1" applyAlignment="1" applyProtection="1">
      <alignment horizontal="center" vertical="center"/>
    </xf>
    <xf numFmtId="0" fontId="63" fillId="0" borderId="0" xfId="0" applyFont="1" applyFill="1" applyAlignment="1" applyProtection="1">
      <alignment horizontal="center" vertical="center"/>
    </xf>
    <xf numFmtId="0" fontId="3" fillId="0" borderId="43" xfId="0" applyFont="1" applyFill="1" applyBorder="1" applyAlignment="1" applyProtection="1">
      <alignment horizontal="left" vertical="center"/>
    </xf>
    <xf numFmtId="0" fontId="3" fillId="0" borderId="44" xfId="0" applyFont="1" applyFill="1" applyBorder="1" applyAlignment="1" applyProtection="1">
      <alignment horizontal="left" vertical="center"/>
    </xf>
    <xf numFmtId="3" fontId="3"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3" fontId="15"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vertical="center"/>
    </xf>
    <xf numFmtId="176" fontId="1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38" fontId="15" fillId="0" borderId="0" xfId="1" applyFont="1" applyFill="1" applyBorder="1" applyAlignment="1" applyProtection="1">
      <alignment horizontal="center" vertical="center"/>
    </xf>
    <xf numFmtId="38" fontId="15" fillId="0" borderId="16" xfId="1" applyFont="1" applyFill="1" applyBorder="1" applyAlignment="1" applyProtection="1">
      <alignment horizontal="center" vertical="center"/>
    </xf>
    <xf numFmtId="3" fontId="10" fillId="0" borderId="0" xfId="0" applyNumberFormat="1" applyFont="1" applyFill="1" applyBorder="1" applyAlignment="1" applyProtection="1">
      <alignment horizontal="center" vertical="center"/>
    </xf>
    <xf numFmtId="38" fontId="15" fillId="0" borderId="0" xfId="1" applyFont="1" applyFill="1" applyBorder="1" applyAlignment="1" applyProtection="1">
      <alignment horizontal="right" vertical="center"/>
    </xf>
    <xf numFmtId="38" fontId="10" fillId="0" borderId="0" xfId="1" applyFont="1" applyFill="1" applyBorder="1" applyAlignment="1" applyProtection="1">
      <alignment horizontal="left" vertical="center"/>
    </xf>
    <xf numFmtId="38" fontId="10" fillId="0" borderId="64" xfId="1" applyFont="1" applyFill="1" applyBorder="1" applyAlignment="1" applyProtection="1">
      <alignment horizontal="left" vertical="center"/>
    </xf>
    <xf numFmtId="3" fontId="3" fillId="0" borderId="0" xfId="0" applyNumberFormat="1" applyFont="1" applyFill="1" applyAlignment="1" applyProtection="1">
      <alignment horizontal="center" vertical="center"/>
    </xf>
    <xf numFmtId="0" fontId="3" fillId="0" borderId="0" xfId="0" applyFont="1" applyFill="1" applyBorder="1" applyAlignment="1" applyProtection="1">
      <alignment horizontal="left" vertical="center"/>
    </xf>
    <xf numFmtId="38" fontId="15" fillId="0" borderId="25" xfId="1" applyFont="1" applyFill="1" applyBorder="1" applyAlignment="1" applyProtection="1">
      <alignment horizontal="right" vertical="center"/>
    </xf>
    <xf numFmtId="0" fontId="5" fillId="0" borderId="0" xfId="0" applyFont="1" applyFill="1" applyAlignment="1" applyProtection="1">
      <alignment horizontal="center" vertical="center"/>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38" fontId="10" fillId="3" borderId="43" xfId="1" applyFont="1" applyFill="1" applyBorder="1" applyAlignment="1" applyProtection="1">
      <alignment horizontal="left" vertical="center"/>
    </xf>
    <xf numFmtId="38" fontId="10" fillId="3" borderId="0" xfId="1" applyFont="1" applyFill="1" applyBorder="1" applyAlignment="1" applyProtection="1">
      <alignment horizontal="left" vertical="center"/>
    </xf>
    <xf numFmtId="0" fontId="43" fillId="0" borderId="1"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38" fontId="5" fillId="0" borderId="0" xfId="1" applyFont="1" applyFill="1" applyBorder="1" applyAlignment="1" applyProtection="1">
      <alignment horizontal="left" vertical="center"/>
    </xf>
    <xf numFmtId="38" fontId="125" fillId="0" borderId="0" xfId="1" applyFont="1" applyFill="1" applyBorder="1" applyAlignment="1" applyProtection="1">
      <alignment vertical="center"/>
      <protection locked="0"/>
    </xf>
    <xf numFmtId="0" fontId="120" fillId="0" borderId="0" xfId="0" applyFont="1" applyFill="1" applyBorder="1" applyAlignment="1" applyProtection="1">
      <alignment vertical="center"/>
      <protection locked="0"/>
    </xf>
    <xf numFmtId="38" fontId="119" fillId="0" borderId="0" xfId="1" applyFont="1" applyFill="1" applyBorder="1" applyAlignment="1" applyProtection="1">
      <alignment vertical="center"/>
    </xf>
    <xf numFmtId="0" fontId="120" fillId="0" borderId="0" xfId="0" applyFont="1" applyBorder="1" applyAlignment="1">
      <alignment vertical="center"/>
    </xf>
    <xf numFmtId="0" fontId="121" fillId="0" borderId="0" xfId="0" applyFont="1" applyBorder="1" applyAlignment="1">
      <alignment vertical="center"/>
    </xf>
    <xf numFmtId="38" fontId="71" fillId="0" borderId="0" xfId="1" applyFont="1" applyFill="1" applyBorder="1" applyAlignment="1" applyProtection="1">
      <alignment horizontal="center" vertical="center"/>
    </xf>
    <xf numFmtId="38" fontId="0" fillId="0" borderId="32" xfId="1" applyFont="1" applyFill="1" applyBorder="1" applyAlignment="1">
      <alignment horizontal="center"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5" fillId="0" borderId="233" xfId="0" applyFont="1" applyFill="1" applyBorder="1" applyAlignment="1" applyProtection="1">
      <alignment horizontal="center" vertical="center"/>
    </xf>
    <xf numFmtId="3" fontId="19" fillId="0" borderId="117" xfId="0" applyNumberFormat="1" applyFont="1" applyFill="1" applyBorder="1" applyAlignment="1" applyProtection="1">
      <alignment vertical="center" shrinkToFit="1"/>
    </xf>
    <xf numFmtId="0" fontId="5" fillId="0" borderId="118" xfId="0" applyFont="1" applyFill="1" applyBorder="1" applyAlignment="1" applyProtection="1">
      <alignment horizontal="left" vertical="center"/>
    </xf>
    <xf numFmtId="3" fontId="19" fillId="0" borderId="234" xfId="0" applyNumberFormat="1" applyFont="1" applyFill="1" applyBorder="1" applyAlignment="1" applyProtection="1">
      <alignment vertical="center" shrinkToFit="1"/>
    </xf>
    <xf numFmtId="0" fontId="5" fillId="0" borderId="235" xfId="0" applyFont="1" applyFill="1" applyBorder="1" applyAlignment="1" applyProtection="1">
      <alignment horizontal="left" vertical="center"/>
    </xf>
    <xf numFmtId="0" fontId="5" fillId="0" borderId="236" xfId="0" applyFont="1" applyFill="1" applyBorder="1" applyAlignment="1" applyProtection="1">
      <alignment horizontal="center" vertical="center"/>
    </xf>
    <xf numFmtId="38" fontId="0" fillId="0" borderId="32" xfId="1" applyFont="1" applyFill="1" applyBorder="1">
      <alignment vertical="center"/>
    </xf>
    <xf numFmtId="38" fontId="0" fillId="0" borderId="47" xfId="1" applyFont="1" applyFill="1" applyBorder="1" applyAlignment="1">
      <alignment vertical="center" shrinkToFit="1"/>
    </xf>
    <xf numFmtId="38" fontId="95" fillId="0" borderId="25" xfId="1" applyFont="1" applyBorder="1">
      <alignment vertical="center"/>
    </xf>
    <xf numFmtId="38" fontId="94" fillId="0" borderId="0" xfId="1" applyFont="1" applyAlignment="1">
      <alignment vertical="center"/>
    </xf>
    <xf numFmtId="38" fontId="94" fillId="0" borderId="0" xfId="1" applyFont="1" applyAlignment="1">
      <alignment horizontal="center"/>
    </xf>
    <xf numFmtId="38" fontId="3" fillId="0" borderId="13" xfId="1" applyFont="1" applyFill="1" applyBorder="1" applyAlignment="1" applyProtection="1">
      <alignment vertical="center" shrinkToFit="1"/>
    </xf>
    <xf numFmtId="38" fontId="15" fillId="0" borderId="14" xfId="1" applyFont="1" applyFill="1" applyBorder="1" applyAlignment="1" applyProtection="1">
      <alignment vertical="center" shrinkToFit="1"/>
    </xf>
    <xf numFmtId="38" fontId="3" fillId="0" borderId="15" xfId="1" applyFont="1" applyFill="1" applyBorder="1" applyAlignment="1" applyProtection="1">
      <alignment vertical="center" shrinkToFit="1"/>
    </xf>
    <xf numFmtId="38" fontId="15" fillId="0" borderId="16" xfId="1" applyFont="1" applyFill="1" applyBorder="1" applyAlignment="1" applyProtection="1">
      <alignment vertical="center" shrinkToFit="1"/>
    </xf>
    <xf numFmtId="38" fontId="3" fillId="0" borderId="38" xfId="1" applyFont="1" applyFill="1" applyBorder="1" applyAlignment="1" applyProtection="1">
      <alignment vertical="center" shrinkToFit="1"/>
    </xf>
    <xf numFmtId="38" fontId="15" fillId="0" borderId="41" xfId="1" applyFont="1" applyFill="1" applyBorder="1" applyAlignment="1" applyProtection="1">
      <alignment vertical="center" shrinkToFit="1"/>
    </xf>
    <xf numFmtId="38" fontId="15" fillId="0" borderId="31" xfId="1" applyFont="1" applyFill="1" applyBorder="1" applyAlignment="1" applyProtection="1">
      <alignment vertical="center" shrinkToFit="1"/>
    </xf>
    <xf numFmtId="38" fontId="3" fillId="0" borderId="26" xfId="1" applyFont="1" applyFill="1" applyBorder="1" applyAlignment="1" applyProtection="1">
      <alignment vertical="center" shrinkToFit="1"/>
    </xf>
    <xf numFmtId="38" fontId="15" fillId="0" borderId="37" xfId="1"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137" fillId="0" borderId="0" xfId="0" applyFont="1" applyFill="1" applyProtection="1">
      <alignment vertical="center"/>
    </xf>
    <xf numFmtId="38" fontId="39" fillId="3" borderId="19" xfId="1" applyFont="1" applyFill="1" applyBorder="1" applyAlignment="1" applyProtection="1">
      <alignment vertical="center" wrapText="1"/>
    </xf>
    <xf numFmtId="38" fontId="13" fillId="0" borderId="0" xfId="1" applyFont="1" applyAlignment="1">
      <alignment horizontal="distributed" vertical="center"/>
    </xf>
    <xf numFmtId="38" fontId="143" fillId="0" borderId="0" xfId="1" applyFont="1" applyProtection="1">
      <alignment vertical="center"/>
    </xf>
    <xf numFmtId="38" fontId="128" fillId="0" borderId="0" xfId="1" applyFont="1" applyProtection="1">
      <alignment vertical="center"/>
    </xf>
    <xf numFmtId="38" fontId="144" fillId="0" borderId="0" xfId="1" applyFont="1" applyProtection="1">
      <alignment vertical="center"/>
    </xf>
    <xf numFmtId="38" fontId="144" fillId="0" borderId="0" xfId="1" applyFont="1" applyProtection="1">
      <alignment vertical="center"/>
      <protection locked="0"/>
    </xf>
    <xf numFmtId="38" fontId="107" fillId="0" borderId="0" xfId="1" applyFont="1" applyProtection="1">
      <alignment vertical="center"/>
    </xf>
    <xf numFmtId="38" fontId="146" fillId="0" borderId="0" xfId="1" applyFont="1" applyAlignment="1" applyProtection="1">
      <alignment vertical="top"/>
    </xf>
    <xf numFmtId="38" fontId="107" fillId="0" borderId="195" xfId="1" applyFont="1" applyBorder="1" applyProtection="1">
      <alignment vertical="center"/>
    </xf>
    <xf numFmtId="38" fontId="107" fillId="0" borderId="263" xfId="1" applyFont="1" applyBorder="1" applyAlignment="1" applyProtection="1">
      <alignment horizontal="center" vertical="center"/>
      <protection locked="0"/>
    </xf>
    <xf numFmtId="38" fontId="107" fillId="0" borderId="264" xfId="1" applyFont="1" applyBorder="1" applyAlignment="1" applyProtection="1">
      <alignment vertical="center" shrinkToFit="1"/>
    </xf>
    <xf numFmtId="38" fontId="107" fillId="0" borderId="73" xfId="1" applyFont="1" applyBorder="1" applyAlignment="1" applyProtection="1">
      <alignment horizontal="center" vertical="center"/>
      <protection locked="0"/>
    </xf>
    <xf numFmtId="38" fontId="107" fillId="0" borderId="0" xfId="1" applyFont="1" applyBorder="1" applyAlignment="1" applyProtection="1">
      <alignment vertical="center" shrinkToFit="1"/>
    </xf>
    <xf numFmtId="38" fontId="107" fillId="0" borderId="0" xfId="1" applyFont="1" applyBorder="1" applyProtection="1">
      <alignment vertical="center"/>
    </xf>
    <xf numFmtId="0" fontId="143" fillId="0" borderId="0" xfId="0" applyFont="1" applyProtection="1">
      <alignment vertical="center"/>
    </xf>
    <xf numFmtId="38" fontId="143" fillId="0" borderId="0" xfId="1" applyFont="1" applyAlignment="1" applyProtection="1">
      <alignment horizontal="center" vertical="center"/>
    </xf>
    <xf numFmtId="38" fontId="143" fillId="0" borderId="0" xfId="1" applyFont="1" applyAlignment="1" applyProtection="1">
      <alignment horizontal="right" vertical="center"/>
    </xf>
    <xf numFmtId="38" fontId="143" fillId="0" borderId="0" xfId="1" applyFont="1" applyAlignment="1" applyProtection="1">
      <alignment horizontal="center" vertical="center" shrinkToFit="1"/>
    </xf>
    <xf numFmtId="38" fontId="143" fillId="13" borderId="265" xfId="1" applyFont="1" applyFill="1" applyBorder="1" applyAlignment="1" applyProtection="1">
      <alignment horizontal="center" vertical="center" shrinkToFit="1"/>
    </xf>
    <xf numFmtId="38" fontId="143" fillId="13" borderId="223" xfId="1" applyFont="1" applyFill="1" applyBorder="1" applyAlignment="1" applyProtection="1">
      <alignment horizontal="center" vertical="center" shrinkToFit="1"/>
    </xf>
    <xf numFmtId="38" fontId="143" fillId="13" borderId="224" xfId="1" applyFont="1" applyFill="1" applyBorder="1" applyAlignment="1" applyProtection="1">
      <alignment horizontal="center" vertical="center" shrinkToFit="1"/>
    </xf>
    <xf numFmtId="0" fontId="143" fillId="0" borderId="266" xfId="0" applyFont="1" applyFill="1" applyBorder="1" applyAlignment="1" applyProtection="1">
      <alignment horizontal="center" vertical="center"/>
    </xf>
    <xf numFmtId="0" fontId="143" fillId="14" borderId="267" xfId="0" applyFont="1" applyFill="1" applyBorder="1" applyAlignment="1" applyProtection="1">
      <alignment horizontal="center" vertical="center"/>
    </xf>
    <xf numFmtId="0" fontId="143" fillId="14" borderId="268" xfId="0" applyFont="1" applyFill="1" applyBorder="1" applyAlignment="1" applyProtection="1">
      <alignment horizontal="center" vertical="center"/>
    </xf>
    <xf numFmtId="38" fontId="143" fillId="0" borderId="266" xfId="1" applyFont="1" applyBorder="1" applyAlignment="1" applyProtection="1">
      <alignment horizontal="center" vertical="center" shrinkToFit="1"/>
    </xf>
    <xf numFmtId="38" fontId="143" fillId="9" borderId="269" xfId="1" applyFont="1" applyFill="1" applyBorder="1" applyAlignment="1" applyProtection="1">
      <alignment horizontal="center" vertical="center" shrinkToFit="1"/>
    </xf>
    <xf numFmtId="38" fontId="143" fillId="9" borderId="272" xfId="1" applyFont="1" applyFill="1" applyBorder="1" applyAlignment="1" applyProtection="1">
      <alignment horizontal="center" vertical="center" shrinkToFit="1"/>
    </xf>
    <xf numFmtId="38" fontId="143" fillId="0" borderId="273" xfId="1" applyFont="1" applyBorder="1" applyProtection="1">
      <alignment vertical="center"/>
    </xf>
    <xf numFmtId="38" fontId="143" fillId="0" borderId="274" xfId="1" applyFont="1" applyBorder="1" applyProtection="1">
      <alignment vertical="center"/>
    </xf>
    <xf numFmtId="38" fontId="143" fillId="0" borderId="275" xfId="1" applyFont="1" applyBorder="1" applyProtection="1">
      <alignment vertical="center"/>
    </xf>
    <xf numFmtId="0" fontId="143" fillId="0" borderId="276" xfId="0" applyFont="1" applyBorder="1" applyProtection="1">
      <alignment vertical="center"/>
    </xf>
    <xf numFmtId="0" fontId="143" fillId="0" borderId="277" xfId="0" applyFont="1" applyBorder="1" applyProtection="1">
      <alignment vertical="center"/>
    </xf>
    <xf numFmtId="38" fontId="143" fillId="15" borderId="279" xfId="1" applyFont="1" applyFill="1" applyBorder="1" applyAlignment="1" applyProtection="1">
      <alignment horizontal="center" vertical="center"/>
    </xf>
    <xf numFmtId="38" fontId="143" fillId="0" borderId="280" xfId="1" applyFont="1" applyBorder="1" applyProtection="1">
      <alignment vertical="center"/>
      <protection locked="0"/>
    </xf>
    <xf numFmtId="38" fontId="143" fillId="0" borderId="88" xfId="1" applyFont="1" applyBorder="1" applyAlignment="1" applyProtection="1">
      <alignment horizontal="right" vertical="center"/>
    </xf>
    <xf numFmtId="0" fontId="143" fillId="0" borderId="273" xfId="0" applyFont="1" applyBorder="1" applyProtection="1">
      <alignment vertical="center"/>
    </xf>
    <xf numFmtId="0" fontId="143" fillId="0" borderId="274" xfId="0" applyFont="1" applyBorder="1" applyProtection="1">
      <alignment vertical="center"/>
    </xf>
    <xf numFmtId="183" fontId="143" fillId="0" borderId="274" xfId="0" applyNumberFormat="1" applyFont="1" applyBorder="1" applyAlignment="1" applyProtection="1">
      <alignment horizontal="right" vertical="center"/>
    </xf>
    <xf numFmtId="3" fontId="143" fillId="0" borderId="275" xfId="0" applyNumberFormat="1" applyFont="1" applyBorder="1" applyAlignment="1" applyProtection="1">
      <alignment horizontal="right" vertical="center"/>
    </xf>
    <xf numFmtId="38" fontId="143" fillId="15" borderId="198" xfId="1" applyFont="1" applyFill="1" applyBorder="1" applyAlignment="1" applyProtection="1">
      <alignment horizontal="center" vertical="center"/>
    </xf>
    <xf numFmtId="38" fontId="143" fillId="0" borderId="284" xfId="1" applyFont="1" applyBorder="1" applyAlignment="1" applyProtection="1">
      <alignment horizontal="right" vertical="center"/>
      <protection locked="0"/>
    </xf>
    <xf numFmtId="3" fontId="143" fillId="0" borderId="274" xfId="0" applyNumberFormat="1" applyFont="1" applyBorder="1" applyProtection="1">
      <alignment vertical="center"/>
    </xf>
    <xf numFmtId="0" fontId="143" fillId="0" borderId="274" xfId="0" applyFont="1" applyBorder="1" applyAlignment="1" applyProtection="1">
      <alignment horizontal="right" vertical="center"/>
    </xf>
    <xf numFmtId="38" fontId="143" fillId="15" borderId="264" xfId="1" applyFont="1" applyFill="1" applyBorder="1" applyAlignment="1" applyProtection="1">
      <alignment horizontal="center" vertical="center"/>
    </xf>
    <xf numFmtId="38" fontId="143" fillId="0" borderId="288" xfId="1" applyFont="1" applyBorder="1" applyAlignment="1" applyProtection="1">
      <alignment horizontal="right" vertical="center"/>
      <protection locked="0"/>
    </xf>
    <xf numFmtId="38" fontId="143" fillId="0" borderId="293" xfId="1" applyFont="1" applyBorder="1" applyAlignment="1" applyProtection="1">
      <alignment horizontal="right" vertical="center"/>
    </xf>
    <xf numFmtId="38" fontId="143" fillId="16" borderId="294" xfId="1" applyFont="1" applyFill="1" applyBorder="1" applyAlignment="1" applyProtection="1">
      <alignment horizontal="center" vertical="center"/>
    </xf>
    <xf numFmtId="38" fontId="143" fillId="16" borderId="295" xfId="1" applyFont="1" applyFill="1" applyBorder="1" applyProtection="1">
      <alignment vertical="center"/>
    </xf>
    <xf numFmtId="38" fontId="143" fillId="16" borderId="297" xfId="1" applyFont="1" applyFill="1" applyBorder="1" applyAlignment="1" applyProtection="1">
      <alignment horizontal="right" vertical="center"/>
    </xf>
    <xf numFmtId="38" fontId="143" fillId="0" borderId="0" xfId="1" applyFont="1" applyAlignment="1" applyProtection="1">
      <alignment vertical="center"/>
    </xf>
    <xf numFmtId="38" fontId="143" fillId="0" borderId="298" xfId="1" applyFont="1" applyBorder="1" applyProtection="1">
      <alignment vertical="center"/>
    </xf>
    <xf numFmtId="38" fontId="143" fillId="0" borderId="299" xfId="1" applyFont="1" applyBorder="1" applyProtection="1">
      <alignment vertical="center"/>
    </xf>
    <xf numFmtId="38" fontId="143" fillId="0" borderId="300" xfId="1" applyFont="1" applyBorder="1" applyProtection="1">
      <alignment vertical="center"/>
    </xf>
    <xf numFmtId="0" fontId="143" fillId="0" borderId="299" xfId="0" applyFont="1" applyBorder="1" applyProtection="1">
      <alignment vertical="center"/>
    </xf>
    <xf numFmtId="38" fontId="143" fillId="0" borderId="5" xfId="1" applyFont="1" applyBorder="1" applyProtection="1">
      <alignment vertical="center"/>
    </xf>
    <xf numFmtId="38" fontId="143" fillId="14" borderId="266" xfId="1" applyFont="1" applyFill="1" applyBorder="1" applyProtection="1">
      <alignment vertical="center"/>
    </xf>
    <xf numFmtId="38" fontId="143" fillId="14" borderId="267" xfId="1" applyFont="1" applyFill="1" applyBorder="1" applyProtection="1">
      <alignment vertical="center"/>
    </xf>
    <xf numFmtId="38" fontId="143" fillId="14" borderId="268" xfId="1" applyFont="1" applyFill="1" applyBorder="1" applyProtection="1">
      <alignment vertical="center"/>
    </xf>
    <xf numFmtId="38" fontId="143" fillId="0" borderId="103" xfId="1" applyFont="1" applyBorder="1" applyAlignment="1" applyProtection="1">
      <alignment horizontal="center" vertical="center"/>
    </xf>
    <xf numFmtId="38" fontId="143" fillId="0" borderId="0" xfId="1" applyFont="1" applyBorder="1" applyAlignment="1" applyProtection="1">
      <alignment horizontal="center" vertical="center"/>
    </xf>
    <xf numFmtId="38" fontId="143" fillId="0" borderId="105" xfId="1" applyFont="1" applyBorder="1" applyAlignment="1" applyProtection="1">
      <alignment horizontal="left" vertical="center"/>
    </xf>
    <xf numFmtId="38" fontId="143" fillId="0" borderId="0" xfId="1" applyFont="1" applyBorder="1" applyAlignment="1" applyProtection="1">
      <alignment horizontal="left" vertical="center"/>
    </xf>
    <xf numFmtId="38" fontId="143" fillId="0" borderId="310" xfId="1" applyFont="1" applyBorder="1" applyAlignment="1" applyProtection="1">
      <alignment horizontal="center" vertical="center"/>
    </xf>
    <xf numFmtId="38" fontId="143" fillId="0" borderId="105" xfId="1" applyFont="1" applyBorder="1" applyProtection="1">
      <alignment vertical="center"/>
    </xf>
    <xf numFmtId="38" fontId="143" fillId="0" borderId="20" xfId="1" applyFont="1" applyBorder="1" applyProtection="1">
      <alignment vertical="center"/>
    </xf>
    <xf numFmtId="38" fontId="143" fillId="9" borderId="312" xfId="1" applyFont="1" applyFill="1" applyBorder="1" applyAlignment="1" applyProtection="1">
      <alignment vertical="center" shrinkToFit="1"/>
    </xf>
    <xf numFmtId="38" fontId="143" fillId="9" borderId="269" xfId="1" applyFont="1" applyFill="1" applyBorder="1" applyAlignment="1" applyProtection="1">
      <alignment vertical="center" shrinkToFit="1"/>
    </xf>
    <xf numFmtId="38" fontId="143" fillId="9" borderId="272" xfId="1" applyFont="1" applyFill="1" applyBorder="1" applyAlignment="1" applyProtection="1">
      <alignment vertical="center" shrinkToFit="1"/>
    </xf>
    <xf numFmtId="0" fontId="143" fillId="0" borderId="266" xfId="0" applyFont="1" applyBorder="1" applyAlignment="1" applyProtection="1">
      <alignment horizontal="center" vertical="center"/>
    </xf>
    <xf numFmtId="0" fontId="143" fillId="9" borderId="267" xfId="0" applyFont="1" applyFill="1" applyBorder="1" applyAlignment="1" applyProtection="1">
      <alignment horizontal="center" vertical="center"/>
    </xf>
    <xf numFmtId="0" fontId="143" fillId="9" borderId="268" xfId="0" applyFont="1" applyFill="1" applyBorder="1" applyAlignment="1" applyProtection="1">
      <alignment horizontal="center" vertical="center"/>
    </xf>
    <xf numFmtId="38" fontId="143" fillId="0" borderId="313" xfId="1" applyFont="1" applyBorder="1" applyAlignment="1" applyProtection="1">
      <alignment horizontal="center" vertical="center"/>
    </xf>
    <xf numFmtId="38" fontId="143" fillId="0" borderId="265" xfId="1" applyFont="1" applyFill="1" applyBorder="1" applyAlignment="1" applyProtection="1">
      <alignment vertical="center" shrinkToFit="1"/>
    </xf>
    <xf numFmtId="38" fontId="143" fillId="0" borderId="223" xfId="1" applyFont="1" applyFill="1" applyBorder="1" applyAlignment="1" applyProtection="1">
      <alignment vertical="center" shrinkToFit="1"/>
    </xf>
    <xf numFmtId="38" fontId="143" fillId="0" borderId="224" xfId="1" applyFont="1" applyFill="1" applyBorder="1" applyAlignment="1" applyProtection="1">
      <alignment vertical="center" shrinkToFit="1"/>
    </xf>
    <xf numFmtId="0" fontId="143" fillId="0" borderId="312" xfId="0" applyFont="1" applyBorder="1" applyAlignment="1" applyProtection="1">
      <alignment horizontal="center" vertical="center"/>
    </xf>
    <xf numFmtId="38" fontId="143" fillId="0" borderId="314" xfId="1" applyFont="1" applyBorder="1" applyAlignment="1" applyProtection="1">
      <alignment horizontal="left" vertical="center"/>
    </xf>
    <xf numFmtId="38" fontId="128" fillId="0" borderId="108" xfId="1" applyFont="1" applyBorder="1" applyAlignment="1" applyProtection="1">
      <alignment vertical="center"/>
    </xf>
    <xf numFmtId="0" fontId="143" fillId="0" borderId="287" xfId="0" applyFont="1" applyBorder="1" applyAlignment="1" applyProtection="1">
      <alignment horizontal="center" vertical="center"/>
    </xf>
    <xf numFmtId="9" fontId="143" fillId="0" borderId="274" xfId="0" applyNumberFormat="1" applyFont="1" applyBorder="1" applyProtection="1">
      <alignment vertical="center"/>
    </xf>
    <xf numFmtId="38" fontId="143" fillId="0" borderId="105" xfId="1" applyFont="1" applyBorder="1" applyAlignment="1" applyProtection="1">
      <alignment horizontal="center" vertical="center"/>
    </xf>
    <xf numFmtId="38" fontId="143" fillId="0" borderId="108" xfId="1" applyFont="1" applyBorder="1" applyAlignment="1" applyProtection="1">
      <alignment horizontal="left" vertical="center"/>
    </xf>
    <xf numFmtId="0" fontId="143" fillId="0" borderId="294" xfId="0" applyFont="1" applyBorder="1" applyAlignment="1" applyProtection="1">
      <alignment horizontal="center" vertical="center"/>
    </xf>
    <xf numFmtId="0" fontId="143" fillId="0" borderId="322" xfId="0" applyFont="1" applyBorder="1" applyProtection="1">
      <alignment vertical="center"/>
    </xf>
    <xf numFmtId="9" fontId="143" fillId="0" borderId="322" xfId="0" applyNumberFormat="1" applyFont="1" applyBorder="1" applyProtection="1">
      <alignment vertical="center"/>
    </xf>
    <xf numFmtId="38" fontId="143" fillId="0" borderId="323" xfId="1" applyFont="1" applyBorder="1" applyProtection="1">
      <alignment vertical="center"/>
    </xf>
    <xf numFmtId="38" fontId="143" fillId="0" borderId="0" xfId="1" applyFont="1" applyAlignment="1" applyProtection="1">
      <alignment horizontal="left" vertical="center"/>
    </xf>
    <xf numFmtId="9" fontId="143" fillId="0" borderId="299" xfId="0" applyNumberFormat="1" applyFont="1" applyBorder="1" applyProtection="1">
      <alignment vertical="center"/>
    </xf>
    <xf numFmtId="38" fontId="143" fillId="0" borderId="5" xfId="1" applyFont="1" applyBorder="1" applyAlignment="1" applyProtection="1">
      <alignment horizontal="center" vertical="center"/>
    </xf>
    <xf numFmtId="38" fontId="143" fillId="18" borderId="266" xfId="1" applyFont="1" applyFill="1" applyBorder="1" applyProtection="1">
      <alignment vertical="center"/>
    </xf>
    <xf numFmtId="38" fontId="143" fillId="18" borderId="267" xfId="1" applyFont="1" applyFill="1" applyBorder="1" applyProtection="1">
      <alignment vertical="center"/>
    </xf>
    <xf numFmtId="38" fontId="143" fillId="18" borderId="268" xfId="1" applyFont="1" applyFill="1" applyBorder="1" applyProtection="1">
      <alignment vertical="center"/>
    </xf>
    <xf numFmtId="38" fontId="143" fillId="0" borderId="5" xfId="1" applyFont="1" applyBorder="1" applyAlignment="1" applyProtection="1">
      <alignment horizontal="center" vertical="center" shrinkToFit="1"/>
    </xf>
    <xf numFmtId="38" fontId="143" fillId="0" borderId="266" xfId="1" applyFont="1" applyBorder="1" applyProtection="1">
      <alignment vertical="center"/>
    </xf>
    <xf numFmtId="38" fontId="143" fillId="0" borderId="267" xfId="1" applyFont="1" applyBorder="1" applyProtection="1">
      <alignment vertical="center"/>
    </xf>
    <xf numFmtId="38" fontId="143" fillId="0" borderId="268" xfId="1" applyFont="1" applyBorder="1" applyProtection="1">
      <alignment vertical="center"/>
    </xf>
    <xf numFmtId="38" fontId="143" fillId="0" borderId="0" xfId="1" applyFont="1" applyBorder="1" applyAlignment="1" applyProtection="1">
      <alignment horizontal="center" vertical="center" shrinkToFit="1"/>
    </xf>
    <xf numFmtId="38" fontId="143" fillId="0" borderId="0" xfId="1" applyFont="1" applyBorder="1" applyProtection="1">
      <alignment vertical="center"/>
    </xf>
    <xf numFmtId="38" fontId="143" fillId="0" borderId="195" xfId="1" applyFont="1" applyBorder="1" applyAlignment="1" applyProtection="1">
      <alignment vertical="center" shrinkToFit="1"/>
    </xf>
    <xf numFmtId="38" fontId="143" fillId="0" borderId="265" xfId="1" applyFont="1" applyBorder="1" applyProtection="1">
      <alignment vertical="center"/>
    </xf>
    <xf numFmtId="38" fontId="143" fillId="0" borderId="223" xfId="1" applyFont="1" applyBorder="1" applyProtection="1">
      <alignment vertical="center"/>
    </xf>
    <xf numFmtId="38" fontId="143" fillId="0" borderId="224" xfId="1" applyFont="1" applyBorder="1" applyProtection="1">
      <alignment vertical="center"/>
    </xf>
    <xf numFmtId="38" fontId="143" fillId="0" borderId="198" xfId="1" applyFont="1" applyBorder="1" applyAlignment="1" applyProtection="1">
      <alignment vertical="center" shrinkToFit="1"/>
    </xf>
    <xf numFmtId="0" fontId="143" fillId="0" borderId="0" xfId="1" applyNumberFormat="1" applyFont="1" applyProtection="1">
      <alignment vertical="center"/>
    </xf>
    <xf numFmtId="38" fontId="143" fillId="0" borderId="264" xfId="1" applyFont="1" applyBorder="1" applyAlignment="1" applyProtection="1">
      <alignment vertical="center" shrinkToFit="1"/>
    </xf>
    <xf numFmtId="38" fontId="143" fillId="0" borderId="6" xfId="1" applyFont="1" applyBorder="1" applyAlignment="1" applyProtection="1">
      <alignment vertical="center" shrinkToFit="1"/>
    </xf>
    <xf numFmtId="38" fontId="143" fillId="0" borderId="6" xfId="1" applyFont="1" applyBorder="1" applyProtection="1">
      <alignment vertical="center"/>
    </xf>
    <xf numFmtId="38" fontId="143" fillId="0" borderId="265" xfId="1" applyFont="1" applyFill="1" applyBorder="1" applyProtection="1">
      <alignment vertical="center"/>
    </xf>
    <xf numFmtId="38" fontId="143" fillId="0" borderId="223" xfId="1" applyFont="1" applyFill="1" applyBorder="1" applyProtection="1">
      <alignment vertical="center"/>
    </xf>
    <xf numFmtId="38" fontId="143" fillId="0" borderId="224" xfId="1" applyFont="1" applyFill="1" applyBorder="1" applyProtection="1">
      <alignment vertical="center"/>
    </xf>
    <xf numFmtId="38" fontId="107" fillId="0" borderId="0" xfId="1" applyFont="1" applyAlignment="1" applyProtection="1">
      <alignment horizontal="right" vertical="center"/>
    </xf>
    <xf numFmtId="38" fontId="143" fillId="0" borderId="265" xfId="1" applyFont="1" applyBorder="1" applyAlignment="1" applyProtection="1">
      <alignment vertical="center" shrinkToFit="1"/>
    </xf>
    <xf numFmtId="38" fontId="143" fillId="0" borderId="223" xfId="1" applyFont="1" applyBorder="1" applyAlignment="1" applyProtection="1">
      <alignment vertical="center" shrinkToFit="1"/>
    </xf>
    <xf numFmtId="38" fontId="143" fillId="0" borderId="201" xfId="1" applyFont="1" applyBorder="1" applyAlignment="1" applyProtection="1">
      <alignment vertical="center" shrinkToFit="1"/>
    </xf>
    <xf numFmtId="38" fontId="143" fillId="0" borderId="224" xfId="1" applyFont="1" applyBorder="1" applyAlignment="1" applyProtection="1">
      <alignment vertical="center" shrinkToFit="1"/>
    </xf>
    <xf numFmtId="38" fontId="143" fillId="0" borderId="265" xfId="1" applyFont="1" applyBorder="1" applyAlignment="1" applyProtection="1">
      <alignment horizontal="center" vertical="center"/>
    </xf>
    <xf numFmtId="38" fontId="143" fillId="0" borderId="223" xfId="1" applyFont="1" applyBorder="1" applyAlignment="1" applyProtection="1">
      <alignment horizontal="center" vertical="center"/>
    </xf>
    <xf numFmtId="38" fontId="143" fillId="0" borderId="224" xfId="1" applyFont="1" applyBorder="1" applyAlignment="1" applyProtection="1">
      <alignment horizontal="center" vertical="center"/>
    </xf>
    <xf numFmtId="38" fontId="143" fillId="0" borderId="324" xfId="1" applyFont="1" applyBorder="1" applyProtection="1">
      <alignment vertical="center"/>
    </xf>
    <xf numFmtId="38" fontId="128" fillId="0" borderId="73" xfId="1" applyFont="1" applyBorder="1" applyProtection="1">
      <alignment vertical="center"/>
    </xf>
    <xf numFmtId="38" fontId="150" fillId="0" borderId="0" xfId="1" applyFont="1" applyProtection="1">
      <alignment vertical="center"/>
    </xf>
    <xf numFmtId="38" fontId="145" fillId="0" borderId="0" xfId="1" applyFont="1" applyProtection="1">
      <alignment vertical="center"/>
    </xf>
    <xf numFmtId="38" fontId="150" fillId="0" borderId="0" xfId="1" applyFont="1" applyAlignment="1" applyProtection="1">
      <alignment horizontal="right" vertical="center"/>
    </xf>
    <xf numFmtId="38" fontId="150" fillId="0" borderId="0" xfId="1" applyFont="1" applyAlignment="1" applyProtection="1">
      <alignment horizontal="left" vertical="center"/>
    </xf>
    <xf numFmtId="38" fontId="107" fillId="0" borderId="325" xfId="1" applyFont="1" applyBorder="1" applyAlignment="1" applyProtection="1">
      <alignment horizontal="center" vertical="center"/>
    </xf>
    <xf numFmtId="38" fontId="107" fillId="0" borderId="326" xfId="1" applyFont="1" applyBorder="1" applyAlignment="1" applyProtection="1">
      <alignment horizontal="center" vertical="center"/>
    </xf>
    <xf numFmtId="3" fontId="143" fillId="19" borderId="274" xfId="0" applyNumberFormat="1" applyFont="1" applyFill="1" applyBorder="1" applyProtection="1">
      <alignment vertical="center"/>
    </xf>
    <xf numFmtId="0" fontId="143" fillId="19" borderId="274" xfId="0" applyFont="1" applyFill="1" applyBorder="1" applyAlignment="1" applyProtection="1">
      <alignment horizontal="right" vertical="center"/>
    </xf>
    <xf numFmtId="49" fontId="143" fillId="19" borderId="275" xfId="0" applyNumberFormat="1" applyFont="1" applyFill="1" applyBorder="1" applyAlignment="1" applyProtection="1">
      <alignment horizontal="right" vertical="center"/>
    </xf>
    <xf numFmtId="38" fontId="127" fillId="0" borderId="0" xfId="1" applyFont="1" applyProtection="1">
      <alignment vertical="center"/>
    </xf>
    <xf numFmtId="38" fontId="143" fillId="19" borderId="273" xfId="1" applyFont="1" applyFill="1" applyBorder="1" applyProtection="1">
      <alignment vertical="center"/>
    </xf>
    <xf numFmtId="38" fontId="143" fillId="19" borderId="274" xfId="1" applyFont="1" applyFill="1" applyBorder="1" applyProtection="1">
      <alignment vertical="center"/>
    </xf>
    <xf numFmtId="38" fontId="143" fillId="19" borderId="275" xfId="1" applyFont="1" applyFill="1" applyBorder="1" applyProtection="1">
      <alignment vertical="center"/>
    </xf>
    <xf numFmtId="38" fontId="142" fillId="12" borderId="0" xfId="1" applyFont="1" applyFill="1" applyAlignment="1" applyProtection="1">
      <alignment horizontal="center" vertical="center"/>
    </xf>
    <xf numFmtId="38" fontId="143" fillId="0" borderId="12" xfId="1" applyFont="1" applyBorder="1" applyAlignment="1" applyProtection="1">
      <alignment horizontal="center" vertical="center"/>
    </xf>
    <xf numFmtId="38" fontId="143" fillId="9" borderId="269" xfId="1" applyFont="1" applyFill="1" applyBorder="1" applyAlignment="1" applyProtection="1">
      <alignment horizontal="center" vertical="center" shrinkToFit="1"/>
    </xf>
    <xf numFmtId="38" fontId="143" fillId="9" borderId="270" xfId="1" applyFont="1" applyFill="1" applyBorder="1" applyAlignment="1" applyProtection="1">
      <alignment horizontal="center" vertical="center" shrinkToFit="1"/>
    </xf>
    <xf numFmtId="38" fontId="143" fillId="9" borderId="271" xfId="1" applyFont="1" applyFill="1" applyBorder="1" applyAlignment="1" applyProtection="1">
      <alignment horizontal="center" vertical="center" shrinkToFit="1"/>
    </xf>
    <xf numFmtId="38" fontId="146" fillId="9" borderId="270" xfId="1" applyFont="1" applyFill="1" applyBorder="1" applyAlignment="1" applyProtection="1">
      <alignment horizontal="center" vertical="center" wrapText="1" shrinkToFit="1"/>
    </xf>
    <xf numFmtId="38" fontId="146" fillId="9" borderId="271" xfId="1" applyFont="1" applyFill="1" applyBorder="1" applyAlignment="1" applyProtection="1">
      <alignment horizontal="center" vertical="center" wrapText="1" shrinkToFit="1"/>
    </xf>
    <xf numFmtId="0" fontId="143" fillId="0" borderId="201" xfId="0" applyFont="1" applyBorder="1" applyAlignment="1" applyProtection="1">
      <alignment horizontal="center" vertical="center"/>
    </xf>
    <xf numFmtId="0" fontId="143" fillId="0" borderId="87" xfId="0" applyFont="1" applyBorder="1" applyAlignment="1" applyProtection="1">
      <alignment horizontal="center" vertical="center"/>
    </xf>
    <xf numFmtId="38" fontId="143" fillId="0" borderId="281" xfId="1" applyFont="1" applyBorder="1" applyAlignment="1" applyProtection="1">
      <alignment horizontal="right" vertical="center"/>
      <protection locked="0"/>
    </xf>
    <xf numFmtId="38" fontId="143" fillId="0" borderId="282" xfId="1" applyFont="1" applyBorder="1" applyAlignment="1" applyProtection="1">
      <alignment horizontal="right" vertical="center"/>
      <protection locked="0"/>
    </xf>
    <xf numFmtId="38" fontId="143" fillId="0" borderId="283" xfId="1" applyFont="1" applyBorder="1" applyAlignment="1" applyProtection="1">
      <alignment horizontal="right" vertical="center"/>
      <protection locked="0"/>
    </xf>
    <xf numFmtId="38" fontId="143" fillId="0" borderId="202" xfId="1" applyFont="1" applyBorder="1" applyAlignment="1" applyProtection="1">
      <alignment horizontal="right" vertical="center"/>
      <protection locked="0"/>
    </xf>
    <xf numFmtId="38" fontId="143" fillId="0" borderId="200" xfId="1" applyFont="1" applyBorder="1" applyAlignment="1" applyProtection="1">
      <alignment horizontal="right" vertical="center"/>
      <protection locked="0"/>
    </xf>
    <xf numFmtId="38" fontId="143" fillId="0" borderId="285" xfId="1" applyFont="1" applyBorder="1" applyAlignment="1" applyProtection="1">
      <alignment horizontal="right" vertical="center"/>
      <protection locked="0"/>
    </xf>
    <xf numFmtId="0" fontId="143" fillId="19" borderId="286" xfId="0" applyFont="1" applyFill="1" applyBorder="1" applyAlignment="1" applyProtection="1">
      <alignment horizontal="left" vertical="center"/>
    </xf>
    <xf numFmtId="0" fontId="143" fillId="19" borderId="287" xfId="0" applyFont="1" applyFill="1" applyBorder="1" applyAlignment="1" applyProtection="1">
      <alignment horizontal="left" vertical="center"/>
    </xf>
    <xf numFmtId="0" fontId="143" fillId="19" borderId="276" xfId="0" applyFont="1" applyFill="1" applyBorder="1" applyAlignment="1" applyProtection="1">
      <alignment horizontal="left" vertical="center"/>
    </xf>
    <xf numFmtId="0" fontId="143" fillId="19" borderId="274" xfId="0" applyFont="1" applyFill="1" applyBorder="1" applyAlignment="1" applyProtection="1">
      <alignment horizontal="right" vertical="center"/>
    </xf>
    <xf numFmtId="0" fontId="143" fillId="19" borderId="275" xfId="0" applyFont="1" applyFill="1" applyBorder="1" applyAlignment="1" applyProtection="1">
      <alignment horizontal="right" vertical="center"/>
    </xf>
    <xf numFmtId="0" fontId="143" fillId="0" borderId="299" xfId="0" applyFont="1" applyBorder="1" applyAlignment="1" applyProtection="1">
      <alignment horizontal="center" vertical="center"/>
    </xf>
    <xf numFmtId="0" fontId="143" fillId="0" borderId="300" xfId="0" applyFont="1" applyBorder="1" applyAlignment="1" applyProtection="1">
      <alignment horizontal="center" vertical="center"/>
    </xf>
    <xf numFmtId="0" fontId="143" fillId="0" borderId="286" xfId="0" applyFont="1" applyBorder="1" applyAlignment="1" applyProtection="1">
      <alignment horizontal="left" vertical="center" wrapText="1"/>
    </xf>
    <xf numFmtId="0" fontId="143" fillId="0" borderId="287" xfId="0" applyFont="1" applyBorder="1" applyAlignment="1" applyProtection="1">
      <alignment horizontal="left" vertical="center"/>
    </xf>
    <xf numFmtId="0" fontId="143" fillId="0" borderId="276" xfId="0" applyFont="1" applyBorder="1" applyAlignment="1" applyProtection="1">
      <alignment horizontal="left" vertical="center"/>
    </xf>
    <xf numFmtId="38" fontId="143" fillId="0" borderId="289" xfId="1" applyFont="1" applyBorder="1" applyAlignment="1" applyProtection="1">
      <alignment horizontal="right" vertical="center"/>
      <protection locked="0"/>
    </xf>
    <xf numFmtId="38" fontId="143" fillId="0" borderId="290" xfId="1" applyFont="1" applyBorder="1" applyAlignment="1" applyProtection="1">
      <alignment horizontal="right" vertical="center"/>
      <protection locked="0"/>
    </xf>
    <xf numFmtId="38" fontId="143" fillId="0" borderId="291" xfId="1" applyFont="1" applyBorder="1" applyAlignment="1" applyProtection="1">
      <alignment horizontal="right" vertical="center"/>
      <protection locked="0"/>
    </xf>
    <xf numFmtId="38" fontId="143" fillId="0" borderId="292" xfId="1" applyFont="1" applyBorder="1" applyAlignment="1" applyProtection="1">
      <alignment horizontal="right" vertical="center"/>
      <protection locked="0"/>
    </xf>
    <xf numFmtId="38" fontId="143" fillId="16" borderId="296" xfId="1" applyFont="1" applyFill="1" applyBorder="1" applyAlignment="1" applyProtection="1">
      <alignment horizontal="right" vertical="center"/>
    </xf>
    <xf numFmtId="0" fontId="143" fillId="0" borderId="286" xfId="0" applyFont="1" applyBorder="1" applyAlignment="1" applyProtection="1">
      <alignment horizontal="left" vertical="center"/>
    </xf>
    <xf numFmtId="0" fontId="143" fillId="0" borderId="294" xfId="0" applyFont="1" applyBorder="1" applyAlignment="1" applyProtection="1">
      <alignment horizontal="left" vertical="center"/>
    </xf>
    <xf numFmtId="38" fontId="128" fillId="17" borderId="301" xfId="1" applyFont="1" applyFill="1" applyBorder="1" applyAlignment="1" applyProtection="1">
      <alignment horizontal="center" vertical="center"/>
    </xf>
    <xf numFmtId="38" fontId="128" fillId="17" borderId="302" xfId="1" applyFont="1" applyFill="1" applyBorder="1" applyAlignment="1" applyProtection="1">
      <alignment horizontal="center" vertical="center"/>
    </xf>
    <xf numFmtId="38" fontId="128" fillId="17" borderId="305" xfId="1" applyFont="1" applyFill="1" applyBorder="1" applyAlignment="1" applyProtection="1">
      <alignment horizontal="center" vertical="center"/>
    </xf>
    <xf numFmtId="38" fontId="128" fillId="17" borderId="6" xfId="1" applyFont="1" applyFill="1" applyBorder="1" applyAlignment="1" applyProtection="1">
      <alignment horizontal="center" vertical="center"/>
    </xf>
    <xf numFmtId="38" fontId="147" fillId="0" borderId="303" xfId="1" applyFont="1" applyBorder="1" applyAlignment="1" applyProtection="1">
      <alignment horizontal="right" vertical="center"/>
    </xf>
    <xf numFmtId="38" fontId="147" fillId="0" borderId="302" xfId="1" applyFont="1" applyBorder="1" applyAlignment="1" applyProtection="1">
      <alignment horizontal="right" vertical="center"/>
    </xf>
    <xf numFmtId="38" fontId="147" fillId="0" borderId="5" xfId="1" applyFont="1" applyBorder="1" applyAlignment="1" applyProtection="1">
      <alignment horizontal="right" vertical="center"/>
    </xf>
    <xf numFmtId="38" fontId="147" fillId="0" borderId="6" xfId="1" applyFont="1" applyBorder="1" applyAlignment="1" applyProtection="1">
      <alignment horizontal="right" vertical="center"/>
    </xf>
    <xf numFmtId="38" fontId="128" fillId="17" borderId="304" xfId="1" applyFont="1" applyFill="1" applyBorder="1" applyAlignment="1" applyProtection="1">
      <alignment horizontal="center" vertical="center"/>
    </xf>
    <xf numFmtId="38" fontId="128" fillId="17" borderId="306" xfId="1" applyFont="1" applyFill="1" applyBorder="1" applyAlignment="1" applyProtection="1">
      <alignment horizontal="center" vertical="center"/>
    </xf>
    <xf numFmtId="38" fontId="128" fillId="17" borderId="101" xfId="1" applyFont="1" applyFill="1" applyBorder="1" applyAlignment="1" applyProtection="1">
      <alignment horizontal="center" vertical="center"/>
    </xf>
    <xf numFmtId="38" fontId="128" fillId="17" borderId="103" xfId="1" applyFont="1" applyFill="1" applyBorder="1" applyAlignment="1" applyProtection="1">
      <alignment horizontal="center" vertical="center"/>
    </xf>
    <xf numFmtId="38" fontId="128" fillId="17" borderId="307" xfId="1" applyFont="1" applyFill="1" applyBorder="1" applyAlignment="1" applyProtection="1">
      <alignment horizontal="center" vertical="center"/>
    </xf>
    <xf numFmtId="38" fontId="128" fillId="17" borderId="308" xfId="1" applyFont="1" applyFill="1" applyBorder="1" applyAlignment="1" applyProtection="1">
      <alignment horizontal="center" vertical="center"/>
    </xf>
    <xf numFmtId="38" fontId="128" fillId="9" borderId="309" xfId="1" applyFont="1" applyFill="1" applyBorder="1" applyAlignment="1" applyProtection="1">
      <alignment horizontal="center" vertical="center"/>
    </xf>
    <xf numFmtId="38" fontId="128" fillId="9" borderId="196" xfId="1" applyFont="1" applyFill="1" applyBorder="1" applyAlignment="1" applyProtection="1">
      <alignment horizontal="center" vertical="center"/>
    </xf>
    <xf numFmtId="38" fontId="128" fillId="9" borderId="311" xfId="1" applyFont="1" applyFill="1" applyBorder="1" applyAlignment="1" applyProtection="1">
      <alignment horizontal="center" vertical="center"/>
    </xf>
    <xf numFmtId="38" fontId="128" fillId="9" borderId="199" xfId="1" applyFont="1" applyFill="1" applyBorder="1" applyAlignment="1" applyProtection="1">
      <alignment horizontal="center" vertical="center"/>
    </xf>
    <xf numFmtId="38" fontId="148" fillId="0" borderId="195" xfId="1" applyFont="1" applyBorder="1" applyAlignment="1" applyProtection="1">
      <alignment horizontal="right" vertical="center"/>
    </xf>
    <xf numFmtId="38" fontId="148" fillId="0" borderId="196" xfId="1" applyFont="1" applyBorder="1" applyAlignment="1" applyProtection="1">
      <alignment horizontal="right" vertical="center"/>
    </xf>
    <xf numFmtId="38" fontId="148" fillId="0" borderId="198" xfId="1" applyFont="1" applyBorder="1" applyAlignment="1" applyProtection="1">
      <alignment horizontal="right" vertical="center"/>
    </xf>
    <xf numFmtId="38" fontId="148" fillId="0" borderId="199" xfId="1" applyFont="1" applyBorder="1" applyAlignment="1" applyProtection="1">
      <alignment horizontal="right" vertical="center"/>
    </xf>
    <xf numFmtId="38" fontId="147" fillId="0" borderId="305" xfId="1" applyFont="1" applyBorder="1" applyAlignment="1" applyProtection="1">
      <alignment horizontal="center" vertical="center"/>
    </xf>
    <xf numFmtId="38" fontId="147" fillId="0" borderId="306" xfId="1" applyFont="1" applyBorder="1" applyAlignment="1" applyProtection="1">
      <alignment horizontal="center" vertical="center"/>
    </xf>
    <xf numFmtId="38" fontId="147" fillId="0" borderId="315" xfId="1" applyFont="1" applyBorder="1" applyAlignment="1" applyProtection="1">
      <alignment horizontal="center" vertical="center"/>
    </xf>
    <xf numFmtId="38" fontId="147" fillId="0" borderId="316" xfId="1" applyFont="1" applyBorder="1" applyAlignment="1" applyProtection="1">
      <alignment horizontal="center" vertical="center"/>
    </xf>
    <xf numFmtId="38" fontId="149" fillId="0" borderId="104" xfId="1" applyFont="1" applyBorder="1" applyAlignment="1" applyProtection="1">
      <alignment horizontal="right" vertical="center"/>
    </xf>
    <xf numFmtId="38" fontId="149" fillId="0" borderId="106" xfId="1" applyFont="1" applyBorder="1" applyAlignment="1" applyProtection="1">
      <alignment horizontal="right" vertical="center"/>
    </xf>
    <xf numFmtId="38" fontId="143" fillId="0" borderId="105" xfId="1" applyFont="1" applyBorder="1" applyAlignment="1" applyProtection="1">
      <alignment horizontal="left" vertical="center"/>
    </xf>
    <xf numFmtId="38" fontId="144" fillId="0" borderId="102" xfId="1" applyFont="1" applyBorder="1" applyAlignment="1" applyProtection="1">
      <alignment horizontal="center" vertical="center" shrinkToFit="1"/>
    </xf>
    <xf numFmtId="38" fontId="128" fillId="9" borderId="317" xfId="1" applyFont="1" applyFill="1" applyBorder="1" applyAlignment="1" applyProtection="1">
      <alignment horizontal="center" vertical="center"/>
    </xf>
    <xf numFmtId="38" fontId="128" fillId="9" borderId="318" xfId="1" applyFont="1" applyFill="1" applyBorder="1" applyAlignment="1" applyProtection="1">
      <alignment horizontal="center" vertical="center"/>
    </xf>
    <xf numFmtId="38" fontId="128" fillId="9" borderId="319" xfId="1" applyFont="1" applyFill="1" applyBorder="1" applyAlignment="1" applyProtection="1">
      <alignment horizontal="center" vertical="center"/>
    </xf>
    <xf numFmtId="38" fontId="128" fillId="9" borderId="320" xfId="1" applyFont="1" applyFill="1" applyBorder="1" applyAlignment="1" applyProtection="1">
      <alignment horizontal="center" vertical="center"/>
    </xf>
    <xf numFmtId="38" fontId="148" fillId="0" borderId="321" xfId="1" applyFont="1" applyBorder="1" applyAlignment="1" applyProtection="1">
      <alignment horizontal="right" vertical="center"/>
    </xf>
    <xf numFmtId="38" fontId="148" fillId="0" borderId="320" xfId="1" applyFont="1" applyBorder="1" applyAlignment="1" applyProtection="1">
      <alignment horizontal="right" vertical="center"/>
    </xf>
    <xf numFmtId="38" fontId="143" fillId="0" borderId="32" xfId="1" applyFont="1" applyBorder="1" applyAlignment="1" applyProtection="1">
      <alignment horizontal="center" vertical="center"/>
    </xf>
    <xf numFmtId="38" fontId="143" fillId="0" borderId="48" xfId="1" applyFont="1" applyBorder="1" applyAlignment="1" applyProtection="1">
      <alignment horizontal="center" vertical="center"/>
    </xf>
    <xf numFmtId="38" fontId="143" fillId="0" borderId="47" xfId="1" applyFont="1" applyBorder="1" applyAlignment="1" applyProtection="1">
      <alignment horizontal="center" vertical="center"/>
    </xf>
    <xf numFmtId="0" fontId="143" fillId="0" borderId="269" xfId="0" applyFont="1" applyBorder="1" applyAlignment="1" applyProtection="1">
      <alignment horizontal="left" vertical="center"/>
    </xf>
    <xf numFmtId="0" fontId="143" fillId="0" borderId="277" xfId="0" applyFont="1" applyBorder="1" applyAlignment="1" applyProtection="1">
      <alignment horizontal="left" vertical="center"/>
    </xf>
    <xf numFmtId="9" fontId="143" fillId="0" borderId="269" xfId="0" applyNumberFormat="1" applyFont="1" applyBorder="1" applyAlignment="1" applyProtection="1">
      <alignment horizontal="right" vertical="center"/>
    </xf>
    <xf numFmtId="9" fontId="143" fillId="0" borderId="277" xfId="0" applyNumberFormat="1" applyFont="1" applyBorder="1" applyAlignment="1" applyProtection="1">
      <alignment horizontal="right" vertical="center"/>
    </xf>
    <xf numFmtId="38" fontId="143" fillId="0" borderId="272" xfId="1" applyFont="1" applyBorder="1" applyAlignment="1" applyProtection="1">
      <alignment horizontal="right" vertical="center"/>
    </xf>
    <xf numFmtId="38" fontId="143" fillId="0" borderId="278" xfId="1" applyFont="1" applyBorder="1" applyAlignment="1" applyProtection="1">
      <alignment horizontal="right" vertical="center"/>
    </xf>
    <xf numFmtId="38" fontId="143" fillId="0" borderId="20" xfId="1" applyFont="1" applyBorder="1" applyAlignment="1" applyProtection="1">
      <alignment horizontal="center" vertical="center"/>
    </xf>
    <xf numFmtId="38" fontId="143" fillId="0" borderId="43" xfId="1" applyFont="1" applyBorder="1" applyAlignment="1" applyProtection="1">
      <alignment horizontal="center" vertical="center"/>
    </xf>
    <xf numFmtId="38" fontId="143" fillId="0" borderId="24" xfId="1" applyFont="1" applyBorder="1" applyAlignment="1" applyProtection="1">
      <alignment horizontal="center" vertical="center"/>
    </xf>
    <xf numFmtId="0" fontId="143" fillId="0" borderId="312" xfId="0" applyFont="1" applyBorder="1" applyAlignment="1" applyProtection="1">
      <alignment horizontal="center" vertical="center"/>
    </xf>
    <xf numFmtId="0" fontId="143" fillId="0" borderId="287" xfId="0" applyFont="1" applyBorder="1" applyAlignment="1" applyProtection="1">
      <alignment horizontal="center" vertical="center"/>
    </xf>
    <xf numFmtId="0" fontId="143" fillId="0" borderId="294" xfId="0" applyFont="1" applyBorder="1" applyAlignment="1" applyProtection="1">
      <alignment horizontal="center" vertical="center"/>
    </xf>
    <xf numFmtId="38" fontId="32" fillId="0" borderId="19" xfId="1" applyFont="1" applyFill="1" applyBorder="1" applyAlignment="1" applyProtection="1">
      <alignment vertical="center"/>
    </xf>
    <xf numFmtId="0" fontId="0" fillId="0" borderId="19" xfId="0" applyBorder="1" applyAlignment="1">
      <alignment vertical="center"/>
    </xf>
    <xf numFmtId="38" fontId="70" fillId="2" borderId="19" xfId="1" applyFont="1" applyFill="1" applyBorder="1" applyAlignment="1" applyProtection="1">
      <alignment vertical="center"/>
      <protection locked="0"/>
    </xf>
    <xf numFmtId="0" fontId="69" fillId="2" borderId="19" xfId="0" applyFont="1" applyFill="1" applyBorder="1" applyAlignment="1" applyProtection="1">
      <alignment vertical="center"/>
      <protection locked="0"/>
    </xf>
    <xf numFmtId="38" fontId="12" fillId="0" borderId="137" xfId="1" applyFont="1" applyFill="1" applyBorder="1" applyAlignment="1" applyProtection="1">
      <alignment vertical="center"/>
    </xf>
    <xf numFmtId="0" fontId="0" fillId="0" borderId="138" xfId="0" applyBorder="1" applyAlignment="1">
      <alignment vertical="center"/>
    </xf>
    <xf numFmtId="0" fontId="0" fillId="0" borderId="139" xfId="0" applyBorder="1" applyAlignment="1">
      <alignment vertical="center"/>
    </xf>
    <xf numFmtId="38" fontId="12" fillId="0" borderId="122" xfId="1" applyFont="1" applyFill="1" applyBorder="1" applyAlignment="1" applyProtection="1">
      <alignment vertical="center"/>
    </xf>
    <xf numFmtId="0" fontId="0" fillId="0" borderId="123" xfId="0" applyBorder="1" applyAlignment="1">
      <alignment vertical="center"/>
    </xf>
    <xf numFmtId="0" fontId="0" fillId="0" borderId="124" xfId="0" applyBorder="1" applyAlignment="1">
      <alignment vertical="center"/>
    </xf>
    <xf numFmtId="179" fontId="68" fillId="3" borderId="125" xfId="1" applyNumberFormat="1" applyFont="1" applyFill="1" applyBorder="1" applyAlignment="1" applyProtection="1">
      <alignment horizontal="center" vertical="center"/>
    </xf>
    <xf numFmtId="0" fontId="0" fillId="0" borderId="126" xfId="0" applyBorder="1" applyAlignment="1">
      <alignment vertical="center"/>
    </xf>
    <xf numFmtId="0" fontId="0" fillId="0" borderId="127" xfId="0" applyBorder="1" applyAlignment="1">
      <alignment vertical="center"/>
    </xf>
    <xf numFmtId="179" fontId="68" fillId="3" borderId="132" xfId="1" applyNumberFormat="1" applyFont="1" applyFill="1" applyBorder="1" applyAlignment="1" applyProtection="1">
      <alignment horizontal="center" vertical="center"/>
    </xf>
    <xf numFmtId="0" fontId="0" fillId="0" borderId="132" xfId="0" applyBorder="1" applyAlignment="1">
      <alignment vertical="center"/>
    </xf>
    <xf numFmtId="38" fontId="12" fillId="0" borderId="188" xfId="1" applyFont="1" applyFill="1" applyBorder="1" applyAlignment="1" applyProtection="1">
      <alignment vertical="center"/>
    </xf>
    <xf numFmtId="0" fontId="0" fillId="0" borderId="188" xfId="0" applyBorder="1" applyAlignment="1">
      <alignment vertical="center"/>
    </xf>
    <xf numFmtId="38" fontId="12" fillId="0" borderId="18" xfId="1" applyFont="1" applyFill="1" applyBorder="1" applyAlignment="1" applyProtection="1">
      <alignment vertical="center"/>
    </xf>
    <xf numFmtId="0" fontId="0" fillId="0" borderId="18" xfId="0" applyBorder="1" applyAlignment="1">
      <alignment vertical="center"/>
    </xf>
    <xf numFmtId="38" fontId="32" fillId="0" borderId="116" xfId="1" applyFont="1" applyFill="1" applyBorder="1" applyAlignment="1" applyProtection="1">
      <alignment vertical="center"/>
    </xf>
    <xf numFmtId="0" fontId="0" fillId="0" borderId="117" xfId="0" applyBorder="1" applyAlignment="1">
      <alignment vertical="center"/>
    </xf>
    <xf numFmtId="0" fontId="0" fillId="0" borderId="118" xfId="0" applyBorder="1" applyAlignment="1">
      <alignment vertical="center"/>
    </xf>
    <xf numFmtId="38" fontId="125" fillId="0" borderId="110" xfId="1" applyFont="1" applyFill="1" applyBorder="1" applyAlignment="1" applyProtection="1">
      <alignment vertical="center"/>
      <protection locked="0"/>
    </xf>
    <xf numFmtId="0" fontId="120" fillId="0" borderId="110" xfId="0" applyFont="1" applyFill="1" applyBorder="1" applyAlignment="1" applyProtection="1">
      <alignment vertical="center"/>
      <protection locked="0"/>
    </xf>
    <xf numFmtId="38" fontId="119" fillId="0" borderId="111" xfId="1" applyFont="1" applyFill="1" applyBorder="1" applyAlignment="1" applyProtection="1">
      <alignment vertical="center"/>
    </xf>
    <xf numFmtId="0" fontId="120" fillId="0" borderId="112" xfId="0" applyFont="1" applyBorder="1" applyAlignment="1">
      <alignment vertical="center"/>
    </xf>
    <xf numFmtId="0" fontId="121" fillId="0" borderId="113" xfId="0" applyFont="1" applyBorder="1" applyAlignment="1">
      <alignment vertical="center"/>
    </xf>
    <xf numFmtId="0" fontId="121" fillId="0" borderId="112" xfId="0" applyFont="1" applyBorder="1" applyAlignment="1">
      <alignment vertical="center"/>
    </xf>
    <xf numFmtId="0" fontId="121" fillId="0" borderId="114" xfId="0" applyFont="1" applyBorder="1" applyAlignment="1">
      <alignment vertical="center"/>
    </xf>
    <xf numFmtId="38" fontId="12" fillId="0" borderId="119" xfId="1" applyFont="1" applyFill="1" applyBorder="1" applyAlignment="1" applyProtection="1">
      <alignment vertical="center"/>
    </xf>
    <xf numFmtId="0" fontId="0" fillId="0" borderId="120" xfId="0" applyBorder="1" applyAlignment="1">
      <alignment vertical="center"/>
    </xf>
    <xf numFmtId="0" fontId="0" fillId="0" borderId="121" xfId="0" applyBorder="1" applyAlignment="1">
      <alignment vertical="center"/>
    </xf>
    <xf numFmtId="0" fontId="28" fillId="2" borderId="190" xfId="0" applyFont="1" applyFill="1" applyBorder="1" applyAlignment="1" applyProtection="1">
      <alignment horizontal="center" vertical="center"/>
      <protection locked="0"/>
    </xf>
    <xf numFmtId="0" fontId="28" fillId="2" borderId="160" xfId="0" applyFont="1" applyFill="1" applyBorder="1" applyAlignment="1" applyProtection="1">
      <alignment horizontal="center" vertical="center"/>
      <protection locked="0"/>
    </xf>
    <xf numFmtId="0" fontId="28" fillId="2" borderId="161" xfId="0" applyFont="1" applyFill="1" applyBorder="1" applyAlignment="1" applyProtection="1">
      <alignment horizontal="center" vertical="center"/>
      <protection locked="0"/>
    </xf>
    <xf numFmtId="38" fontId="71" fillId="3" borderId="109" xfId="1" applyFont="1" applyFill="1" applyBorder="1" applyAlignment="1" applyProtection="1">
      <alignment horizontal="center" vertical="center"/>
    </xf>
    <xf numFmtId="38" fontId="71" fillId="3" borderId="110" xfId="1" applyFont="1" applyFill="1" applyBorder="1" applyAlignment="1" applyProtection="1">
      <alignment horizontal="center" vertical="center"/>
    </xf>
    <xf numFmtId="0" fontId="28" fillId="2" borderId="191" xfId="0" applyFont="1" applyFill="1" applyBorder="1" applyAlignment="1" applyProtection="1">
      <alignment horizontal="center" vertical="center"/>
      <protection locked="0"/>
    </xf>
    <xf numFmtId="38" fontId="71" fillId="3" borderId="115" xfId="1" applyFont="1" applyFill="1" applyBorder="1" applyAlignment="1" applyProtection="1">
      <alignment horizontal="center" vertical="center"/>
    </xf>
    <xf numFmtId="38" fontId="71" fillId="3" borderId="19" xfId="1" applyFont="1" applyFill="1" applyBorder="1" applyAlignment="1" applyProtection="1">
      <alignment horizontal="center" vertical="center"/>
    </xf>
    <xf numFmtId="38" fontId="71" fillId="3" borderId="189" xfId="1" applyFont="1" applyFill="1" applyBorder="1" applyAlignment="1" applyProtection="1">
      <alignment horizontal="center" vertical="center"/>
    </xf>
    <xf numFmtId="38" fontId="71" fillId="3" borderId="75" xfId="1" applyFont="1" applyFill="1" applyBorder="1" applyAlignment="1" applyProtection="1">
      <alignment horizontal="center" vertical="center"/>
    </xf>
    <xf numFmtId="38" fontId="23" fillId="0" borderId="0" xfId="1" applyFont="1" applyFill="1" applyBorder="1" applyAlignment="1" applyProtection="1">
      <alignment horizontal="left" vertical="center"/>
    </xf>
    <xf numFmtId="38" fontId="68" fillId="3" borderId="131" xfId="1" applyFont="1" applyFill="1" applyBorder="1" applyAlignment="1" applyProtection="1">
      <alignment vertical="center"/>
    </xf>
    <xf numFmtId="0" fontId="69" fillId="0" borderId="132" xfId="0" applyFont="1" applyBorder="1" applyAlignment="1">
      <alignment vertical="center"/>
    </xf>
    <xf numFmtId="38" fontId="68" fillId="3" borderId="132" xfId="1" applyFont="1" applyFill="1" applyBorder="1" applyAlignment="1" applyProtection="1">
      <alignment horizontal="center" vertical="center"/>
    </xf>
    <xf numFmtId="0" fontId="36" fillId="0" borderId="134" xfId="0" applyFont="1" applyFill="1" applyBorder="1" applyAlignment="1" applyProtection="1">
      <alignment horizontal="center" vertical="center"/>
    </xf>
    <xf numFmtId="0" fontId="36" fillId="0" borderId="21" xfId="0" applyFont="1" applyFill="1" applyBorder="1" applyAlignment="1" applyProtection="1">
      <alignment horizontal="center" vertical="center"/>
    </xf>
    <xf numFmtId="0" fontId="36" fillId="0" borderId="135"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8" fillId="2" borderId="21" xfId="0" applyFont="1" applyFill="1" applyBorder="1" applyAlignment="1" applyProtection="1">
      <alignment horizontal="center" vertical="center"/>
      <protection locked="0"/>
    </xf>
    <xf numFmtId="0" fontId="28" fillId="2" borderId="0" xfId="0" applyFont="1" applyFill="1" applyBorder="1" applyAlignment="1" applyProtection="1">
      <alignment horizontal="center" vertical="center"/>
      <protection locked="0"/>
    </xf>
    <xf numFmtId="0" fontId="28" fillId="2" borderId="12" xfId="0" applyFont="1" applyFill="1" applyBorder="1" applyAlignment="1" applyProtection="1">
      <alignment horizontal="center" vertical="center"/>
      <protection locked="0"/>
    </xf>
    <xf numFmtId="0" fontId="28" fillId="2" borderId="86" xfId="0" applyFont="1" applyFill="1" applyBorder="1" applyAlignment="1" applyProtection="1">
      <alignment horizontal="center" vertical="center"/>
      <protection locked="0"/>
    </xf>
    <xf numFmtId="0" fontId="44" fillId="0" borderId="19" xfId="0" applyFont="1" applyBorder="1" applyAlignment="1">
      <alignment vertical="center"/>
    </xf>
    <xf numFmtId="0" fontId="44" fillId="0" borderId="75" xfId="0" applyFont="1" applyBorder="1" applyAlignment="1">
      <alignment vertical="center"/>
    </xf>
    <xf numFmtId="40" fontId="70" fillId="2" borderId="19" xfId="1" applyNumberFormat="1" applyFont="1" applyFill="1" applyBorder="1" applyAlignment="1" applyProtection="1">
      <alignment vertical="center"/>
      <protection locked="0"/>
    </xf>
    <xf numFmtId="38" fontId="70" fillId="2" borderId="75" xfId="1" applyFont="1" applyFill="1" applyBorder="1" applyAlignment="1" applyProtection="1">
      <alignment vertical="center"/>
      <protection locked="0"/>
    </xf>
    <xf numFmtId="0" fontId="69" fillId="2" borderId="75" xfId="0" applyFont="1" applyFill="1" applyBorder="1" applyAlignment="1" applyProtection="1">
      <alignment vertical="center"/>
      <protection locked="0"/>
    </xf>
    <xf numFmtId="38" fontId="12" fillId="0" borderId="143" xfId="1" applyFont="1" applyFill="1" applyBorder="1" applyAlignment="1" applyProtection="1">
      <alignment vertical="center"/>
    </xf>
    <xf numFmtId="0" fontId="0" fillId="0" borderId="143" xfId="0" applyBorder="1" applyAlignment="1">
      <alignment vertical="center"/>
    </xf>
    <xf numFmtId="0" fontId="44" fillId="0" borderId="110" xfId="0" applyFont="1" applyBorder="1" applyAlignment="1">
      <alignment vertical="center"/>
    </xf>
    <xf numFmtId="38" fontId="70" fillId="2" borderId="110" xfId="1" applyFont="1" applyFill="1" applyBorder="1" applyAlignment="1" applyProtection="1">
      <alignment vertical="center"/>
      <protection locked="0"/>
    </xf>
    <xf numFmtId="0" fontId="69" fillId="2" borderId="110" xfId="0" applyFont="1" applyFill="1" applyBorder="1" applyAlignment="1" applyProtection="1">
      <alignment vertical="center"/>
      <protection locked="0"/>
    </xf>
    <xf numFmtId="0" fontId="69" fillId="0" borderId="117" xfId="0" applyFont="1" applyBorder="1" applyAlignment="1">
      <alignment vertical="center"/>
    </xf>
    <xf numFmtId="0" fontId="0" fillId="0" borderId="140" xfId="0" applyBorder="1" applyAlignment="1">
      <alignment vertical="center"/>
    </xf>
    <xf numFmtId="0" fontId="69" fillId="0" borderId="120" xfId="0" applyFont="1" applyBorder="1" applyAlignment="1">
      <alignment vertical="center"/>
    </xf>
    <xf numFmtId="0" fontId="0" fillId="0" borderId="141" xfId="0" applyBorder="1" applyAlignment="1">
      <alignment vertical="center"/>
    </xf>
    <xf numFmtId="0" fontId="69" fillId="0" borderId="123" xfId="0" applyFont="1" applyBorder="1" applyAlignment="1">
      <alignment vertical="center"/>
    </xf>
    <xf numFmtId="0" fontId="0" fillId="0" borderId="142" xfId="0" applyBorder="1" applyAlignment="1">
      <alignment vertical="center"/>
    </xf>
    <xf numFmtId="0" fontId="56" fillId="0" borderId="0" xfId="0" applyFont="1" applyFill="1" applyBorder="1" applyAlignment="1" applyProtection="1">
      <alignment horizontal="center" vertical="center"/>
    </xf>
    <xf numFmtId="0" fontId="3" fillId="0" borderId="158" xfId="0" applyFont="1" applyFill="1" applyBorder="1" applyAlignment="1" applyProtection="1">
      <alignment horizontal="center" vertical="center"/>
    </xf>
    <xf numFmtId="0" fontId="10" fillId="0" borderId="173" xfId="0" applyFont="1" applyFill="1" applyBorder="1" applyAlignment="1" applyProtection="1">
      <alignment horizontal="center"/>
    </xf>
    <xf numFmtId="0" fontId="10" fillId="0" borderId="174" xfId="0" applyFont="1" applyFill="1" applyBorder="1" applyAlignment="1" applyProtection="1">
      <alignment horizontal="center"/>
    </xf>
    <xf numFmtId="0" fontId="10" fillId="0" borderId="175" xfId="0" applyFont="1" applyFill="1" applyBorder="1" applyAlignment="1" applyProtection="1">
      <alignment horizontal="center"/>
    </xf>
    <xf numFmtId="0" fontId="5" fillId="0" borderId="176" xfId="0" applyFont="1" applyFill="1" applyBorder="1" applyAlignment="1" applyProtection="1">
      <alignment horizontal="center" vertical="center"/>
    </xf>
    <xf numFmtId="0" fontId="5" fillId="0" borderId="177" xfId="0" applyFont="1" applyFill="1" applyBorder="1" applyAlignment="1" applyProtection="1">
      <alignment horizontal="center" vertical="center"/>
    </xf>
    <xf numFmtId="38" fontId="46" fillId="2" borderId="178" xfId="1" applyFont="1" applyFill="1" applyBorder="1" applyAlignment="1" applyProtection="1">
      <alignment horizontal="center" vertical="center"/>
      <protection locked="0"/>
    </xf>
    <xf numFmtId="38" fontId="46" fillId="2" borderId="174" xfId="1" applyFont="1" applyFill="1" applyBorder="1" applyAlignment="1" applyProtection="1">
      <alignment horizontal="center" vertical="center"/>
      <protection locked="0"/>
    </xf>
    <xf numFmtId="38" fontId="46" fillId="2" borderId="179" xfId="1" applyFont="1" applyFill="1" applyBorder="1" applyAlignment="1" applyProtection="1">
      <alignment horizontal="center" vertical="center"/>
      <protection locked="0"/>
    </xf>
    <xf numFmtId="38" fontId="46" fillId="2" borderId="0" xfId="1" applyFont="1" applyFill="1" applyBorder="1" applyAlignment="1" applyProtection="1">
      <alignment horizontal="center" vertical="center"/>
      <protection locked="0"/>
    </xf>
    <xf numFmtId="0" fontId="3" fillId="0" borderId="180" xfId="0" applyFont="1" applyFill="1" applyBorder="1" applyAlignment="1" applyProtection="1">
      <alignment horizontal="center" vertical="center"/>
    </xf>
    <xf numFmtId="0" fontId="3" fillId="0" borderId="181" xfId="0" applyFont="1" applyFill="1" applyBorder="1" applyAlignment="1" applyProtection="1">
      <alignment horizontal="center" vertical="center"/>
    </xf>
    <xf numFmtId="0" fontId="3" fillId="0" borderId="182" xfId="0" applyFont="1" applyFill="1" applyBorder="1" applyAlignment="1" applyProtection="1">
      <alignment vertical="center"/>
    </xf>
    <xf numFmtId="0" fontId="3" fillId="0" borderId="183" xfId="0" applyFont="1" applyFill="1" applyBorder="1" applyAlignment="1" applyProtection="1">
      <alignment vertical="center"/>
    </xf>
    <xf numFmtId="0" fontId="3" fillId="0" borderId="184" xfId="0" applyFont="1" applyFill="1" applyBorder="1" applyAlignment="1" applyProtection="1">
      <alignment vertical="center"/>
    </xf>
    <xf numFmtId="0" fontId="3" fillId="0" borderId="185" xfId="0" applyFont="1" applyFill="1" applyBorder="1" applyAlignment="1" applyProtection="1">
      <alignment vertical="center"/>
    </xf>
    <xf numFmtId="0" fontId="3" fillId="0" borderId="155" xfId="0" applyFont="1" applyFill="1" applyBorder="1" applyAlignment="1" applyProtection="1">
      <alignment vertical="center"/>
    </xf>
    <xf numFmtId="0" fontId="3" fillId="0" borderId="186" xfId="0" applyFont="1" applyFill="1" applyBorder="1" applyAlignment="1" applyProtection="1">
      <alignment vertical="center"/>
    </xf>
    <xf numFmtId="0" fontId="30" fillId="2" borderId="183" xfId="0" applyFont="1" applyFill="1" applyBorder="1" applyAlignment="1" applyProtection="1">
      <alignment horizontal="center" vertical="center"/>
      <protection locked="0"/>
    </xf>
    <xf numFmtId="0" fontId="30" fillId="2" borderId="187" xfId="0" applyFont="1" applyFill="1" applyBorder="1" applyAlignment="1" applyProtection="1">
      <alignment horizontal="center" vertical="center"/>
      <protection locked="0"/>
    </xf>
    <xf numFmtId="0" fontId="38" fillId="0" borderId="158" xfId="0" applyFont="1" applyFill="1" applyBorder="1" applyAlignment="1" applyProtection="1">
      <alignment horizontal="center" vertical="center"/>
    </xf>
    <xf numFmtId="0" fontId="38" fillId="0" borderId="148" xfId="0" applyFont="1" applyFill="1" applyBorder="1" applyAlignment="1" applyProtection="1">
      <alignment horizontal="center" vertical="center"/>
    </xf>
    <xf numFmtId="0" fontId="28" fillId="2" borderId="158" xfId="0" applyFont="1" applyFill="1" applyBorder="1" applyAlignment="1" applyProtection="1">
      <alignment horizontal="center" vertical="center"/>
      <protection locked="0"/>
    </xf>
    <xf numFmtId="0" fontId="28" fillId="2" borderId="159" xfId="0" applyFont="1" applyFill="1" applyBorder="1" applyAlignment="1" applyProtection="1">
      <alignment horizontal="center" vertical="center"/>
      <protection locked="0"/>
    </xf>
    <xf numFmtId="0" fontId="3" fillId="0" borderId="162" xfId="0" applyFont="1" applyFill="1" applyBorder="1" applyAlignment="1" applyProtection="1">
      <alignment horizontal="center" vertical="center"/>
    </xf>
    <xf numFmtId="0" fontId="3" fillId="0" borderId="163" xfId="0" applyFont="1" applyFill="1" applyBorder="1" applyAlignment="1" applyProtection="1">
      <alignment horizontal="center" vertical="center"/>
    </xf>
    <xf numFmtId="38" fontId="57" fillId="2" borderId="164" xfId="0" applyNumberFormat="1" applyFont="1" applyFill="1" applyBorder="1" applyAlignment="1" applyProtection="1">
      <alignment horizontal="center" vertical="center"/>
      <protection locked="0"/>
    </xf>
    <xf numFmtId="0" fontId="57" fillId="2" borderId="165" xfId="0" applyFont="1" applyFill="1" applyBorder="1" applyAlignment="1" applyProtection="1">
      <alignment horizontal="center" vertical="center"/>
      <protection locked="0"/>
    </xf>
    <xf numFmtId="0" fontId="57" fillId="2" borderId="166" xfId="0" applyFont="1" applyFill="1" applyBorder="1" applyAlignment="1" applyProtection="1">
      <alignment horizontal="center" vertical="center"/>
      <protection locked="0"/>
    </xf>
    <xf numFmtId="0" fontId="57" fillId="2" borderId="167" xfId="0" applyFont="1" applyFill="1" applyBorder="1" applyAlignment="1" applyProtection="1">
      <alignment horizontal="center" vertical="center"/>
      <protection locked="0"/>
    </xf>
    <xf numFmtId="0" fontId="5" fillId="0" borderId="165" xfId="0" applyFont="1" applyFill="1" applyBorder="1" applyAlignment="1" applyProtection="1">
      <alignment horizontal="center" vertical="center"/>
    </xf>
    <xf numFmtId="0" fontId="5" fillId="0" borderId="168" xfId="0" applyFont="1" applyFill="1" applyBorder="1" applyAlignment="1" applyProtection="1">
      <alignment horizontal="center" vertical="center"/>
    </xf>
    <xf numFmtId="0" fontId="5" fillId="0" borderId="167" xfId="0" applyFont="1" applyFill="1" applyBorder="1" applyAlignment="1" applyProtection="1">
      <alignment horizontal="center" vertical="center"/>
    </xf>
    <xf numFmtId="0" fontId="5" fillId="0" borderId="169" xfId="0" applyFont="1" applyFill="1" applyBorder="1" applyAlignment="1" applyProtection="1">
      <alignment horizontal="center" vertical="center"/>
    </xf>
    <xf numFmtId="181" fontId="31" fillId="2" borderId="49" xfId="0" applyNumberFormat="1" applyFont="1" applyFill="1" applyBorder="1" applyAlignment="1" applyProtection="1">
      <alignment horizontal="center" vertical="center"/>
      <protection locked="0"/>
    </xf>
    <xf numFmtId="181" fontId="31" fillId="2" borderId="33" xfId="0" applyNumberFormat="1" applyFont="1" applyFill="1" applyBorder="1" applyAlignment="1" applyProtection="1">
      <alignment horizontal="center" vertical="center"/>
      <protection locked="0"/>
    </xf>
    <xf numFmtId="0" fontId="3" fillId="0" borderId="170" xfId="0" applyFont="1" applyFill="1" applyBorder="1" applyAlignment="1" applyProtection="1">
      <alignment horizontal="center" vertical="center"/>
    </xf>
    <xf numFmtId="0" fontId="3" fillId="0" borderId="171" xfId="0" applyFont="1" applyFill="1" applyBorder="1" applyAlignment="1" applyProtection="1">
      <alignment horizontal="center" vertical="center"/>
    </xf>
    <xf numFmtId="0" fontId="3" fillId="0" borderId="13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38" fontId="16" fillId="0" borderId="0" xfId="0" applyNumberFormat="1" applyFont="1" applyFill="1" applyBorder="1" applyAlignment="1" applyProtection="1">
      <alignment horizontal="right" vertical="center"/>
    </xf>
    <xf numFmtId="38" fontId="16" fillId="0" borderId="12" xfId="0" applyNumberFormat="1" applyFont="1" applyFill="1" applyBorder="1" applyAlignment="1" applyProtection="1">
      <alignment horizontal="right" vertical="center"/>
    </xf>
    <xf numFmtId="0" fontId="124" fillId="0" borderId="151" xfId="0" applyFont="1" applyFill="1" applyBorder="1" applyAlignment="1" applyProtection="1">
      <alignment horizontal="center" vertical="center"/>
    </xf>
    <xf numFmtId="0" fontId="124" fillId="0" borderId="12" xfId="0" applyFont="1" applyFill="1" applyBorder="1" applyAlignment="1" applyProtection="1">
      <alignment horizontal="center" vertical="center"/>
    </xf>
    <xf numFmtId="0" fontId="124" fillId="0" borderId="152" xfId="0" applyFont="1" applyFill="1" applyBorder="1" applyAlignment="1" applyProtection="1">
      <alignment horizontal="center" vertical="center"/>
    </xf>
    <xf numFmtId="38" fontId="28" fillId="2" borderId="0" xfId="1" applyFont="1" applyFill="1" applyBorder="1" applyAlignment="1" applyProtection="1">
      <alignment horizontal="center" vertical="center"/>
      <protection locked="0"/>
    </xf>
    <xf numFmtId="38" fontId="28" fillId="2" borderId="12" xfId="1" applyFont="1" applyFill="1" applyBorder="1" applyAlignment="1" applyProtection="1">
      <alignment horizontal="center" vertical="center"/>
      <protection locked="0"/>
    </xf>
    <xf numFmtId="0" fontId="66" fillId="0" borderId="128" xfId="0" applyFont="1" applyFill="1" applyBorder="1" applyAlignment="1" applyProtection="1">
      <alignment horizontal="center" vertical="center"/>
    </xf>
    <xf numFmtId="0" fontId="66" fillId="0" borderId="129" xfId="0" applyFont="1" applyFill="1" applyBorder="1" applyAlignment="1" applyProtection="1">
      <alignment horizontal="center" vertical="center"/>
    </xf>
    <xf numFmtId="0" fontId="66" fillId="0" borderId="144" xfId="0" applyFont="1" applyFill="1" applyBorder="1" applyAlignment="1" applyProtection="1">
      <alignment horizontal="center" vertical="center"/>
    </xf>
    <xf numFmtId="0" fontId="3" fillId="0" borderId="158" xfId="0" applyFont="1" applyFill="1" applyBorder="1" applyAlignment="1" applyProtection="1">
      <alignment horizontal="center"/>
    </xf>
    <xf numFmtId="0" fontId="3" fillId="0" borderId="0" xfId="0" applyFont="1" applyFill="1" applyBorder="1" applyAlignment="1" applyProtection="1">
      <alignment horizontal="center"/>
    </xf>
    <xf numFmtId="0" fontId="66" fillId="0" borderId="172"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37" fillId="0" borderId="12" xfId="0" applyFont="1" applyFill="1" applyBorder="1" applyAlignment="1" applyProtection="1">
      <alignment horizontal="center" vertical="center"/>
    </xf>
    <xf numFmtId="0" fontId="3" fillId="0" borderId="21" xfId="0" applyFont="1" applyFill="1" applyBorder="1" applyAlignment="1" applyProtection="1">
      <alignment horizontal="center"/>
    </xf>
    <xf numFmtId="0" fontId="36" fillId="0" borderId="151" xfId="0" applyFont="1" applyFill="1" applyBorder="1" applyAlignment="1" applyProtection="1">
      <alignment horizontal="center" vertical="center"/>
    </xf>
    <xf numFmtId="0" fontId="36" fillId="0" borderId="12" xfId="0" applyFont="1" applyFill="1" applyBorder="1" applyAlignment="1" applyProtection="1">
      <alignment horizontal="center" vertical="center"/>
    </xf>
    <xf numFmtId="0" fontId="36" fillId="0" borderId="152" xfId="0" applyFont="1" applyFill="1" applyBorder="1" applyAlignment="1" applyProtection="1">
      <alignment horizontal="center" vertical="center"/>
    </xf>
    <xf numFmtId="0" fontId="68" fillId="0" borderId="17" xfId="0" applyFont="1" applyFill="1" applyBorder="1" applyAlignment="1" applyProtection="1">
      <alignment horizontal="center" vertical="center"/>
    </xf>
    <xf numFmtId="38" fontId="3" fillId="0" borderId="17" xfId="1" applyFont="1" applyFill="1" applyBorder="1" applyAlignment="1" applyProtection="1">
      <alignment horizontal="center" vertical="center"/>
    </xf>
    <xf numFmtId="176" fontId="15" fillId="0" borderId="17" xfId="0" applyNumberFormat="1" applyFont="1" applyFill="1" applyBorder="1" applyAlignment="1" applyProtection="1">
      <alignment horizontal="center" vertical="center"/>
    </xf>
    <xf numFmtId="0" fontId="3" fillId="0" borderId="148" xfId="0" applyFont="1" applyFill="1" applyBorder="1" applyAlignment="1" applyProtection="1">
      <alignment horizontal="left" vertical="center"/>
    </xf>
    <xf numFmtId="0" fontId="3" fillId="0" borderId="150" xfId="0" applyFont="1" applyFill="1" applyBorder="1" applyAlignment="1" applyProtection="1">
      <alignment horizontal="left" vertical="center"/>
    </xf>
    <xf numFmtId="38" fontId="15" fillId="0" borderId="17" xfId="1" applyFont="1" applyFill="1" applyBorder="1" applyAlignment="1" applyProtection="1">
      <alignment horizontal="center" vertical="center"/>
    </xf>
    <xf numFmtId="0" fontId="108" fillId="0" borderId="250" xfId="0" applyFont="1" applyFill="1" applyBorder="1" applyAlignment="1" applyProtection="1">
      <alignment horizontal="center" vertical="center"/>
    </xf>
    <xf numFmtId="0" fontId="108" fillId="0" borderId="251" xfId="0" applyFont="1" applyFill="1" applyBorder="1" applyAlignment="1" applyProtection="1">
      <alignment horizontal="center" vertical="center"/>
    </xf>
    <xf numFmtId="0" fontId="123" fillId="0" borderId="251" xfId="0" applyFont="1" applyFill="1" applyBorder="1" applyAlignment="1" applyProtection="1">
      <alignment horizontal="center" vertical="center"/>
      <protection locked="0"/>
    </xf>
    <xf numFmtId="0" fontId="42" fillId="0" borderId="42" xfId="0"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2"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2" fillId="0" borderId="3" xfId="0" applyFont="1" applyFill="1" applyBorder="1" applyAlignment="1" applyProtection="1">
      <alignment horizontal="center" vertical="center"/>
    </xf>
    <xf numFmtId="0" fontId="50" fillId="0" borderId="0" xfId="0" applyFont="1" applyFill="1" applyAlignment="1" applyProtection="1">
      <alignment horizontal="left" vertical="center" shrinkToFit="1"/>
    </xf>
    <xf numFmtId="0" fontId="50" fillId="0" borderId="0" xfId="0" applyFont="1" applyFill="1" applyBorder="1" applyAlignment="1" applyProtection="1">
      <alignment horizontal="left" vertical="center" shrinkToFit="1"/>
    </xf>
    <xf numFmtId="0" fontId="97" fillId="0" borderId="252" xfId="0" applyFont="1" applyFill="1" applyBorder="1" applyAlignment="1" applyProtection="1">
      <alignment horizontal="left" vertical="center" shrinkToFit="1"/>
    </xf>
    <xf numFmtId="0" fontId="97" fillId="0" borderId="248" xfId="0" applyFont="1" applyFill="1" applyBorder="1" applyAlignment="1" applyProtection="1">
      <alignment horizontal="left" vertical="center" shrinkToFit="1"/>
    </xf>
    <xf numFmtId="0" fontId="97" fillId="0" borderId="253" xfId="0" applyFont="1" applyFill="1" applyBorder="1" applyAlignment="1" applyProtection="1">
      <alignment horizontal="left" vertical="center" shrinkToFit="1"/>
    </xf>
    <xf numFmtId="0" fontId="97" fillId="0" borderId="249" xfId="0" applyFont="1" applyFill="1" applyBorder="1" applyAlignment="1" applyProtection="1">
      <alignment horizontal="left" vertical="center" shrinkToFit="1"/>
    </xf>
    <xf numFmtId="0" fontId="97" fillId="0" borderId="255" xfId="0" applyFont="1" applyFill="1" applyBorder="1" applyAlignment="1" applyProtection="1">
      <alignment horizontal="left" vertical="center" shrinkToFit="1"/>
    </xf>
    <xf numFmtId="0" fontId="10" fillId="0" borderId="153"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10" fillId="0" borderId="154" xfId="0" applyFont="1" applyFill="1" applyBorder="1" applyAlignment="1" applyProtection="1">
      <alignment horizontal="left" vertical="top"/>
    </xf>
    <xf numFmtId="0" fontId="3" fillId="0" borderId="153" xfId="0" applyFont="1" applyFill="1" applyBorder="1" applyAlignment="1" applyProtection="1">
      <alignment horizontal="center" vertical="center"/>
    </xf>
    <xf numFmtId="0" fontId="30" fillId="2" borderId="155" xfId="0" applyFont="1" applyFill="1" applyBorder="1" applyAlignment="1" applyProtection="1">
      <alignment horizontal="center" vertical="center"/>
      <protection locked="0"/>
    </xf>
    <xf numFmtId="0" fontId="30" fillId="2" borderId="156" xfId="0" applyFont="1" applyFill="1" applyBorder="1" applyAlignment="1" applyProtection="1">
      <alignment horizontal="center" vertical="center"/>
      <protection locked="0"/>
    </xf>
    <xf numFmtId="0" fontId="104" fillId="0" borderId="157" xfId="0" applyFont="1" applyFill="1" applyBorder="1" applyAlignment="1" applyProtection="1">
      <alignment horizontal="left" vertical="center"/>
    </xf>
    <xf numFmtId="0" fontId="104" fillId="0" borderId="21" xfId="0" applyFont="1" applyFill="1" applyBorder="1" applyAlignment="1" applyProtection="1">
      <alignment horizontal="left" vertical="center"/>
    </xf>
    <xf numFmtId="0" fontId="104" fillId="0" borderId="153" xfId="0" applyFont="1" applyFill="1" applyBorder="1" applyAlignment="1" applyProtection="1">
      <alignment horizontal="left" vertical="center"/>
    </xf>
    <xf numFmtId="0" fontId="104" fillId="0" borderId="0" xfId="0" applyFont="1" applyFill="1" applyBorder="1" applyAlignment="1" applyProtection="1">
      <alignment horizontal="left" vertical="center"/>
    </xf>
    <xf numFmtId="0" fontId="38" fillId="0" borderId="21" xfId="0" applyFont="1" applyFill="1" applyBorder="1" applyAlignment="1" applyProtection="1">
      <alignment horizontal="center" vertical="center"/>
    </xf>
    <xf numFmtId="0" fontId="38" fillId="0" borderId="14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48" xfId="0" applyFont="1" applyFill="1" applyBorder="1" applyAlignment="1" applyProtection="1">
      <alignment horizontal="center" vertical="center"/>
    </xf>
    <xf numFmtId="0" fontId="9" fillId="0" borderId="17" xfId="0" applyFont="1" applyFill="1" applyBorder="1" applyAlignment="1" applyProtection="1">
      <alignment horizontal="center" vertical="center" wrapText="1"/>
    </xf>
    <xf numFmtId="0" fontId="68" fillId="0" borderId="17" xfId="0" applyFont="1" applyFill="1" applyBorder="1" applyAlignment="1" applyProtection="1">
      <alignment horizontal="center" vertical="center" wrapText="1"/>
    </xf>
    <xf numFmtId="38" fontId="28" fillId="2" borderId="86" xfId="1" applyFont="1" applyFill="1" applyBorder="1" applyAlignment="1" applyProtection="1">
      <alignment horizontal="center" vertical="center"/>
      <protection locked="0"/>
    </xf>
    <xf numFmtId="0" fontId="36" fillId="0" borderId="145" xfId="0" applyFont="1" applyFill="1" applyBorder="1" applyAlignment="1" applyProtection="1">
      <alignment horizontal="center" vertical="center"/>
    </xf>
    <xf numFmtId="0" fontId="36" fillId="0" borderId="86" xfId="0" applyFont="1" applyFill="1" applyBorder="1" applyAlignment="1" applyProtection="1">
      <alignment horizontal="center" vertical="center"/>
    </xf>
    <xf numFmtId="0" fontId="36" fillId="0" borderId="146" xfId="0" applyFont="1" applyFill="1" applyBorder="1" applyAlignment="1" applyProtection="1">
      <alignment horizontal="center" vertical="center"/>
    </xf>
    <xf numFmtId="0" fontId="3" fillId="0" borderId="149" xfId="0" applyFont="1" applyFill="1" applyBorder="1" applyAlignment="1" applyProtection="1">
      <alignment horizontal="left" vertical="center"/>
    </xf>
    <xf numFmtId="0" fontId="3" fillId="0" borderId="86" xfId="0" applyFont="1" applyFill="1" applyBorder="1" applyAlignment="1" applyProtection="1">
      <alignment horizontal="center" vertical="center"/>
    </xf>
    <xf numFmtId="38" fontId="16" fillId="0" borderId="86" xfId="0" applyNumberFormat="1" applyFont="1" applyFill="1" applyBorder="1" applyAlignment="1" applyProtection="1">
      <alignment horizontal="right" vertical="center"/>
    </xf>
    <xf numFmtId="0" fontId="47" fillId="2" borderId="0" xfId="0" applyFont="1" applyFill="1" applyAlignment="1" applyProtection="1">
      <alignment horizontal="center" vertical="center"/>
    </xf>
    <xf numFmtId="0" fontId="122" fillId="0" borderId="0" xfId="0" applyFont="1" applyFill="1" applyAlignment="1" applyProtection="1">
      <alignment horizontal="left" vertical="center"/>
    </xf>
    <xf numFmtId="0" fontId="122" fillId="0" borderId="0" xfId="0" applyFont="1" applyFill="1" applyBorder="1" applyAlignment="1" applyProtection="1">
      <alignment horizontal="left" vertical="center"/>
    </xf>
    <xf numFmtId="0" fontId="66" fillId="0" borderId="130" xfId="0" applyFont="1" applyFill="1" applyBorder="1" applyAlignment="1" applyProtection="1">
      <alignment horizontal="center" vertical="center"/>
    </xf>
    <xf numFmtId="38" fontId="12" fillId="3" borderId="131" xfId="1" applyFont="1" applyFill="1" applyBorder="1" applyAlignment="1" applyProtection="1">
      <alignment horizontal="center" vertical="center"/>
    </xf>
    <xf numFmtId="38" fontId="12" fillId="3" borderId="132" xfId="1" applyFont="1" applyFill="1" applyBorder="1" applyAlignment="1" applyProtection="1">
      <alignment horizontal="center" vertical="center"/>
    </xf>
    <xf numFmtId="0" fontId="40" fillId="2" borderId="0" xfId="0" applyFont="1" applyFill="1" applyBorder="1" applyAlignment="1" applyProtection="1">
      <alignment horizontal="center" vertical="center"/>
      <protection locked="0"/>
    </xf>
    <xf numFmtId="0" fontId="69" fillId="0" borderId="126" xfId="0" applyFont="1" applyBorder="1" applyAlignment="1">
      <alignment vertical="center"/>
    </xf>
    <xf numFmtId="0" fontId="0" fillId="0" borderId="136" xfId="0" applyBorder="1" applyAlignment="1">
      <alignment vertical="center"/>
    </xf>
    <xf numFmtId="0" fontId="37" fillId="0" borderId="86" xfId="0" applyFont="1" applyFill="1" applyBorder="1" applyAlignment="1" applyProtection="1">
      <alignment horizontal="center" vertical="center"/>
    </xf>
    <xf numFmtId="0" fontId="72" fillId="0" borderId="42" xfId="0" applyFont="1" applyFill="1" applyBorder="1" applyAlignment="1" applyProtection="1">
      <alignment horizontal="center" vertical="center"/>
    </xf>
    <xf numFmtId="0" fontId="72" fillId="0" borderId="1" xfId="0" applyFont="1" applyFill="1" applyBorder="1" applyAlignment="1" applyProtection="1">
      <alignment horizontal="center" vertical="center"/>
    </xf>
    <xf numFmtId="0" fontId="72" fillId="0" borderId="2" xfId="0" applyFont="1" applyFill="1" applyBorder="1" applyAlignment="1" applyProtection="1">
      <alignment horizontal="center" vertical="center"/>
    </xf>
    <xf numFmtId="179" fontId="68" fillId="3" borderId="126" xfId="1" applyNumberFormat="1" applyFont="1" applyFill="1" applyBorder="1" applyAlignment="1" applyProtection="1">
      <alignment horizontal="center" vertical="center"/>
    </xf>
    <xf numFmtId="0" fontId="27" fillId="0" borderId="86" xfId="0" applyFont="1" applyFill="1" applyBorder="1" applyAlignment="1" applyProtection="1">
      <alignment horizontal="center" vertical="center"/>
    </xf>
    <xf numFmtId="38" fontId="39" fillId="3" borderId="115" xfId="1" applyFont="1" applyFill="1" applyBorder="1" applyAlignment="1" applyProtection="1">
      <alignment horizontal="center" vertical="center" wrapText="1"/>
    </xf>
    <xf numFmtId="0" fontId="84" fillId="0" borderId="19" xfId="0" applyFont="1" applyBorder="1" applyAlignment="1">
      <alignment vertical="center" wrapText="1"/>
    </xf>
    <xf numFmtId="38" fontId="0" fillId="0" borderId="11" xfId="1" applyFont="1" applyBorder="1" applyAlignment="1">
      <alignment horizontal="center" vertical="center"/>
    </xf>
    <xf numFmtId="38" fontId="0" fillId="0" borderId="16" xfId="1" applyFont="1" applyBorder="1" applyAlignment="1">
      <alignment horizontal="center" vertical="center"/>
    </xf>
    <xf numFmtId="38" fontId="0" fillId="0" borderId="69" xfId="1" applyFont="1" applyBorder="1" applyAlignment="1" applyProtection="1">
      <alignment horizontal="right" vertical="center"/>
      <protection locked="0"/>
    </xf>
    <xf numFmtId="38" fontId="0" fillId="0" borderId="10" xfId="1" applyFont="1" applyBorder="1" applyAlignment="1" applyProtection="1">
      <alignment horizontal="right" vertical="center"/>
      <protection locked="0"/>
    </xf>
    <xf numFmtId="38" fontId="0" fillId="0" borderId="71" xfId="1" applyFont="1" applyBorder="1" applyAlignment="1" applyProtection="1">
      <alignment horizontal="right" vertical="center"/>
      <protection locked="0"/>
    </xf>
    <xf numFmtId="38" fontId="0" fillId="0" borderId="15" xfId="1" applyFont="1" applyBorder="1" applyAlignment="1" applyProtection="1">
      <alignment horizontal="right" vertical="center"/>
      <protection locked="0"/>
    </xf>
    <xf numFmtId="38" fontId="44" fillId="0" borderId="158" xfId="1" applyFont="1" applyBorder="1" applyAlignment="1">
      <alignment horizontal="right" vertical="center"/>
    </xf>
    <xf numFmtId="38" fontId="44" fillId="0" borderId="0" xfId="1" applyFont="1" applyBorder="1" applyAlignment="1">
      <alignment horizontal="right" vertical="center"/>
    </xf>
    <xf numFmtId="38" fontId="44" fillId="0" borderId="86" xfId="1" applyFont="1" applyBorder="1" applyAlignment="1">
      <alignment horizontal="right" vertical="center"/>
    </xf>
    <xf numFmtId="38" fontId="1" fillId="9" borderId="92" xfId="1" applyFont="1" applyFill="1" applyBorder="1" applyAlignment="1">
      <alignment horizontal="center" vertical="center"/>
    </xf>
    <xf numFmtId="38" fontId="1" fillId="9" borderId="71" xfId="1" applyFont="1" applyFill="1" applyBorder="1" applyAlignment="1">
      <alignment horizontal="center" vertical="center"/>
    </xf>
    <xf numFmtId="38" fontId="1" fillId="9" borderId="93" xfId="1" applyFont="1" applyFill="1" applyBorder="1" applyAlignment="1">
      <alignment horizontal="center" vertical="center"/>
    </xf>
    <xf numFmtId="38" fontId="1" fillId="9" borderId="94" xfId="1" applyFont="1" applyFill="1" applyBorder="1" applyAlignment="1">
      <alignment horizontal="center" vertical="center"/>
    </xf>
    <xf numFmtId="38" fontId="1" fillId="9" borderId="71" xfId="1" applyFont="1" applyFill="1" applyBorder="1" applyAlignment="1">
      <alignment horizontal="right" vertical="center"/>
    </xf>
    <xf numFmtId="38" fontId="1" fillId="9" borderId="15" xfId="1" applyFont="1" applyFill="1" applyBorder="1" applyAlignment="1">
      <alignment horizontal="right" vertical="center"/>
    </xf>
    <xf numFmtId="38" fontId="1" fillId="9" borderId="94" xfId="1" applyFont="1" applyFill="1" applyBorder="1" applyAlignment="1">
      <alignment horizontal="right" vertical="center"/>
    </xf>
    <xf numFmtId="38" fontId="1" fillId="9" borderId="208" xfId="1" applyFont="1" applyFill="1" applyBorder="1" applyAlignment="1">
      <alignment horizontal="right" vertical="center"/>
    </xf>
    <xf numFmtId="38" fontId="1" fillId="9" borderId="16" xfId="1" applyFont="1" applyFill="1" applyBorder="1" applyAlignment="1">
      <alignment horizontal="center" vertical="center"/>
    </xf>
    <xf numFmtId="38" fontId="1" fillId="9" borderId="58" xfId="1" applyFont="1" applyFill="1" applyBorder="1" applyAlignment="1">
      <alignment horizontal="center" vertical="center"/>
    </xf>
    <xf numFmtId="38" fontId="0" fillId="0" borderId="211" xfId="1" applyFont="1" applyBorder="1" applyAlignment="1">
      <alignment horizontal="center" vertical="center"/>
    </xf>
    <xf numFmtId="38" fontId="0" fillId="0" borderId="212" xfId="1" applyFont="1" applyBorder="1" applyAlignment="1">
      <alignment horizontal="center" vertical="center"/>
    </xf>
    <xf numFmtId="38" fontId="0" fillId="0" borderId="213" xfId="1" applyFont="1" applyBorder="1" applyAlignment="1">
      <alignment horizontal="center" vertical="center"/>
    </xf>
    <xf numFmtId="38" fontId="0" fillId="0" borderId="214" xfId="1" applyFont="1" applyBorder="1" applyAlignment="1">
      <alignment horizontal="center" vertical="center"/>
    </xf>
    <xf numFmtId="38" fontId="0" fillId="0" borderId="215" xfId="1" applyFont="1" applyBorder="1" applyAlignment="1">
      <alignment horizontal="center" vertical="center"/>
    </xf>
    <xf numFmtId="38" fontId="0" fillId="0" borderId="91" xfId="1" applyFont="1" applyBorder="1" applyAlignment="1">
      <alignment horizontal="center" vertical="center"/>
    </xf>
    <xf numFmtId="38" fontId="0" fillId="0" borderId="69" xfId="1" applyFont="1" applyBorder="1" applyAlignment="1">
      <alignment horizontal="center" vertical="center"/>
    </xf>
    <xf numFmtId="38" fontId="0" fillId="0" borderId="92" xfId="1" applyFont="1" applyBorder="1" applyAlignment="1">
      <alignment horizontal="center" vertical="center"/>
    </xf>
    <xf numFmtId="38" fontId="0" fillId="0" borderId="71" xfId="1" applyFont="1" applyBorder="1" applyAlignment="1">
      <alignment horizontal="center" vertical="center"/>
    </xf>
    <xf numFmtId="38" fontId="0" fillId="0" borderId="158" xfId="1" applyFont="1" applyBorder="1" applyAlignment="1">
      <alignment horizontal="center" vertical="center"/>
    </xf>
    <xf numFmtId="38" fontId="0" fillId="0" borderId="194" xfId="1" applyFont="1" applyBorder="1" applyAlignment="1">
      <alignment horizontal="center" vertical="center"/>
    </xf>
    <xf numFmtId="38" fontId="0" fillId="0" borderId="0" xfId="1" applyFont="1" applyBorder="1" applyAlignment="1">
      <alignment horizontal="center" vertical="center"/>
    </xf>
    <xf numFmtId="38" fontId="0" fillId="0" borderId="148" xfId="1" applyFont="1" applyBorder="1" applyAlignment="1">
      <alignment horizontal="center" vertical="center"/>
    </xf>
    <xf numFmtId="38" fontId="0" fillId="0" borderId="86" xfId="1" applyFont="1" applyBorder="1" applyAlignment="1">
      <alignment horizontal="center" vertical="center"/>
    </xf>
    <xf numFmtId="38" fontId="0" fillId="0" borderId="149" xfId="1" applyFont="1" applyBorder="1" applyAlignment="1">
      <alignment horizontal="center" vertical="center"/>
    </xf>
    <xf numFmtId="38" fontId="0" fillId="0" borderId="58" xfId="1" applyFont="1" applyBorder="1" applyAlignment="1">
      <alignment horizontal="center" vertical="center"/>
    </xf>
    <xf numFmtId="38" fontId="0" fillId="0" borderId="93" xfId="1" applyFont="1" applyBorder="1" applyAlignment="1">
      <alignment horizontal="center" vertical="center"/>
    </xf>
    <xf numFmtId="38" fontId="0" fillId="0" borderId="94" xfId="1" applyFont="1" applyBorder="1" applyAlignment="1">
      <alignment horizontal="center" vertical="center"/>
    </xf>
    <xf numFmtId="38" fontId="0" fillId="0" borderId="94" xfId="1" applyFont="1" applyBorder="1" applyAlignment="1" applyProtection="1">
      <alignment horizontal="right" vertical="center"/>
      <protection locked="0"/>
    </xf>
    <xf numFmtId="38" fontId="0" fillId="0" borderId="208" xfId="1" applyFont="1" applyBorder="1" applyAlignment="1" applyProtection="1">
      <alignment horizontal="right" vertical="center"/>
      <protection locked="0"/>
    </xf>
    <xf numFmtId="38" fontId="0" fillId="0" borderId="192" xfId="1" applyFont="1" applyBorder="1" applyAlignment="1">
      <alignment horizontal="center" vertical="center" shrinkToFit="1"/>
    </xf>
    <xf numFmtId="38" fontId="0" fillId="0" borderId="158" xfId="1" applyFont="1" applyBorder="1" applyAlignment="1">
      <alignment horizontal="center" vertical="center" shrinkToFit="1"/>
    </xf>
    <xf numFmtId="38" fontId="0" fillId="0" borderId="193" xfId="1" applyFont="1" applyBorder="1" applyAlignment="1">
      <alignment horizontal="center" vertical="center" shrinkToFit="1"/>
    </xf>
    <xf numFmtId="38" fontId="0" fillId="0" borderId="0" xfId="1" applyFont="1" applyBorder="1" applyAlignment="1">
      <alignment horizontal="center" vertical="center" shrinkToFit="1"/>
    </xf>
    <xf numFmtId="38" fontId="0" fillId="0" borderId="85" xfId="1" applyFont="1" applyBorder="1" applyAlignment="1">
      <alignment horizontal="center" vertical="center" shrinkToFit="1"/>
    </xf>
    <xf numFmtId="38" fontId="0" fillId="0" borderId="86" xfId="1" applyFont="1" applyBorder="1" applyAlignment="1">
      <alignment horizontal="center" vertical="center" shrinkToFit="1"/>
    </xf>
    <xf numFmtId="38" fontId="96" fillId="0" borderId="0" xfId="1" applyFont="1" applyAlignment="1">
      <alignment horizontal="center" vertical="center"/>
    </xf>
    <xf numFmtId="38" fontId="130" fillId="0" borderId="0" xfId="1" applyFont="1" applyAlignment="1">
      <alignment horizontal="left" vertical="center"/>
    </xf>
    <xf numFmtId="38" fontId="0" fillId="0" borderId="209" xfId="1" applyFont="1" applyBorder="1" applyAlignment="1">
      <alignment horizontal="center" vertical="center"/>
    </xf>
    <xf numFmtId="38" fontId="0" fillId="0" borderId="6" xfId="1" applyFont="1" applyBorder="1" applyAlignment="1">
      <alignment horizontal="center" vertical="center"/>
    </xf>
    <xf numFmtId="38" fontId="0" fillId="0" borderId="220" xfId="1" applyFont="1" applyBorder="1" applyAlignment="1">
      <alignment horizontal="center" vertical="center"/>
    </xf>
    <xf numFmtId="38" fontId="0" fillId="0" borderId="209" xfId="1" applyFont="1" applyBorder="1" applyAlignment="1">
      <alignment horizontal="right" vertical="center"/>
    </xf>
    <xf numFmtId="38" fontId="0" fillId="0" borderId="6" xfId="1" applyFont="1" applyBorder="1" applyAlignment="1">
      <alignment horizontal="right" vertical="center"/>
    </xf>
    <xf numFmtId="38" fontId="0" fillId="0" borderId="210" xfId="1" applyFont="1" applyBorder="1" applyAlignment="1">
      <alignment horizontal="right" vertical="center"/>
    </xf>
    <xf numFmtId="38" fontId="0" fillId="0" borderId="216" xfId="1" applyFont="1" applyBorder="1" applyAlignment="1">
      <alignment horizontal="center" vertical="center"/>
    </xf>
    <xf numFmtId="38" fontId="0" fillId="0" borderId="210" xfId="1" applyFont="1" applyBorder="1" applyAlignment="1">
      <alignment horizontal="center" vertical="center"/>
    </xf>
    <xf numFmtId="38" fontId="0" fillId="0" borderId="0" xfId="1" applyFont="1" applyAlignment="1">
      <alignment horizontal="right" vertical="center"/>
    </xf>
    <xf numFmtId="38" fontId="93" fillId="0" borderId="0" xfId="1" applyFont="1" applyAlignment="1">
      <alignment horizontal="left" vertical="center" shrinkToFit="1"/>
    </xf>
    <xf numFmtId="38" fontId="0" fillId="0" borderId="170" xfId="1" applyFont="1" applyBorder="1" applyAlignment="1">
      <alignment horizontal="right" vertical="center"/>
    </xf>
    <xf numFmtId="38" fontId="0" fillId="0" borderId="158" xfId="1" applyFont="1" applyBorder="1" applyAlignment="1">
      <alignment horizontal="right" vertical="center"/>
    </xf>
    <xf numFmtId="38" fontId="0" fillId="0" borderId="133" xfId="1" applyFont="1" applyBorder="1" applyAlignment="1">
      <alignment horizontal="right" vertical="center"/>
    </xf>
    <xf numFmtId="38" fontId="0" fillId="0" borderId="0" xfId="1" applyFont="1" applyBorder="1" applyAlignment="1">
      <alignment horizontal="right" vertical="center"/>
    </xf>
    <xf numFmtId="38" fontId="0" fillId="0" borderId="145" xfId="1" applyFont="1" applyBorder="1" applyAlignment="1">
      <alignment horizontal="right" vertical="center"/>
    </xf>
    <xf numFmtId="38" fontId="0" fillId="0" borderId="86" xfId="1" applyFont="1" applyBorder="1" applyAlignment="1">
      <alignment horizontal="right" vertical="center"/>
    </xf>
    <xf numFmtId="38" fontId="0" fillId="0" borderId="221" xfId="1" applyFont="1" applyBorder="1" applyAlignment="1">
      <alignment horizontal="right" vertical="center"/>
    </xf>
    <xf numFmtId="38" fontId="0" fillId="0" borderId="218" xfId="1" applyFont="1" applyBorder="1" applyAlignment="1">
      <alignment horizontal="right" vertical="center"/>
    </xf>
    <xf numFmtId="38" fontId="0" fillId="0" borderId="219" xfId="1" applyFont="1" applyBorder="1" applyAlignment="1">
      <alignment horizontal="right" vertical="center"/>
    </xf>
    <xf numFmtId="38" fontId="69" fillId="0" borderId="203" xfId="1" applyFont="1" applyBorder="1" applyAlignment="1">
      <alignment horizontal="right" vertical="center"/>
    </xf>
    <xf numFmtId="38" fontId="69" fillId="0" borderId="158" xfId="1" applyFont="1" applyBorder="1" applyAlignment="1">
      <alignment horizontal="right" vertical="center"/>
    </xf>
    <xf numFmtId="38" fontId="69" fillId="0" borderId="204" xfId="1" applyFont="1" applyBorder="1" applyAlignment="1">
      <alignment horizontal="right" vertical="center"/>
    </xf>
    <xf numFmtId="38" fontId="69" fillId="0" borderId="0" xfId="1" applyFont="1" applyBorder="1" applyAlignment="1">
      <alignment horizontal="right" vertical="center"/>
    </xf>
    <xf numFmtId="38" fontId="69" fillId="0" borderId="205" xfId="1" applyFont="1" applyBorder="1" applyAlignment="1">
      <alignment horizontal="right" vertical="center"/>
    </xf>
    <xf numFmtId="38" fontId="69" fillId="0" borderId="86" xfId="1" applyFont="1" applyBorder="1" applyAlignment="1">
      <alignment horizontal="right" vertical="center"/>
    </xf>
    <xf numFmtId="38" fontId="86" fillId="0" borderId="202" xfId="1" applyFont="1" applyBorder="1" applyAlignment="1">
      <alignment horizontal="right" vertical="center"/>
    </xf>
    <xf numFmtId="38" fontId="86" fillId="0" borderId="199" xfId="1" applyFont="1" applyBorder="1" applyAlignment="1">
      <alignment horizontal="right" vertical="center"/>
    </xf>
    <xf numFmtId="38" fontId="0" fillId="0" borderId="203" xfId="1" applyFont="1" applyBorder="1" applyAlignment="1">
      <alignment horizontal="right" vertical="center"/>
    </xf>
    <xf numFmtId="38" fontId="0" fillId="0" borderId="204" xfId="1" applyFont="1" applyBorder="1" applyAlignment="1">
      <alignment horizontal="right" vertical="center"/>
    </xf>
    <xf numFmtId="38" fontId="0" fillId="0" borderId="205" xfId="1" applyFont="1" applyBorder="1" applyAlignment="1">
      <alignment horizontal="right" vertical="center"/>
    </xf>
    <xf numFmtId="38" fontId="0" fillId="0" borderId="193" xfId="1" applyFont="1" applyBorder="1" applyAlignment="1">
      <alignment horizontal="center" vertical="center"/>
    </xf>
    <xf numFmtId="38" fontId="0" fillId="0" borderId="0" xfId="1" applyFont="1" applyAlignment="1">
      <alignment horizontal="center" vertical="center"/>
    </xf>
    <xf numFmtId="38" fontId="1" fillId="0" borderId="12" xfId="1" applyFont="1" applyBorder="1" applyAlignment="1">
      <alignment horizontal="center" vertical="center"/>
    </xf>
    <xf numFmtId="38" fontId="0" fillId="0" borderId="206" xfId="1" applyFont="1" applyBorder="1" applyAlignment="1">
      <alignment horizontal="center" vertical="center" shrinkToFit="1"/>
    </xf>
    <xf numFmtId="38" fontId="0" fillId="0" borderId="207" xfId="1" applyFont="1" applyBorder="1" applyAlignment="1">
      <alignment horizontal="center" vertical="center" shrinkToFit="1"/>
    </xf>
    <xf numFmtId="38" fontId="0" fillId="0" borderId="20" xfId="1" applyFont="1" applyBorder="1" applyAlignment="1">
      <alignment horizontal="center" vertical="center"/>
    </xf>
    <xf numFmtId="38" fontId="0" fillId="0" borderId="21" xfId="1" applyFont="1" applyBorder="1" applyAlignment="1">
      <alignment horizontal="center" vertical="center"/>
    </xf>
    <xf numFmtId="38" fontId="0" fillId="0" borderId="43" xfId="1" applyFont="1" applyBorder="1" applyAlignment="1">
      <alignment horizontal="center" vertical="center"/>
    </xf>
    <xf numFmtId="38" fontId="0" fillId="0" borderId="24" xfId="1" applyFont="1" applyBorder="1" applyAlignment="1">
      <alignment horizontal="center" vertical="center"/>
    </xf>
    <xf numFmtId="38" fontId="0" fillId="0" borderId="12" xfId="1" applyFont="1" applyBorder="1" applyAlignment="1">
      <alignment horizontal="center" vertical="center"/>
    </xf>
    <xf numFmtId="38" fontId="0" fillId="0" borderId="21" xfId="1" applyFont="1" applyBorder="1" applyAlignment="1">
      <alignment horizontal="left" vertical="center"/>
    </xf>
    <xf numFmtId="38" fontId="0" fillId="0" borderId="40" xfId="1" applyFont="1" applyBorder="1" applyAlignment="1">
      <alignment horizontal="left" vertical="center"/>
    </xf>
    <xf numFmtId="38" fontId="0" fillId="0" borderId="0" xfId="1" applyFont="1" applyBorder="1" applyAlignment="1">
      <alignment horizontal="left" vertical="center"/>
    </xf>
    <xf numFmtId="38" fontId="0" fillId="0" borderId="4" xfId="1" applyFont="1" applyBorder="1" applyAlignment="1">
      <alignment horizontal="left" vertical="center"/>
    </xf>
    <xf numFmtId="38" fontId="0" fillId="0" borderId="12" xfId="1" applyFont="1" applyBorder="1" applyAlignment="1">
      <alignment horizontal="left" vertical="center"/>
    </xf>
    <xf numFmtId="38" fontId="0" fillId="0" borderId="25" xfId="1" applyFont="1" applyBorder="1" applyAlignment="1">
      <alignment horizontal="left" vertical="center"/>
    </xf>
    <xf numFmtId="38" fontId="95" fillId="0" borderId="195" xfId="1" applyFont="1" applyBorder="1" applyAlignment="1">
      <alignment horizontal="center" vertical="center"/>
    </xf>
    <xf numFmtId="38" fontId="95" fillId="0" borderId="196" xfId="1" applyFont="1" applyBorder="1" applyAlignment="1">
      <alignment horizontal="center" vertical="center"/>
    </xf>
    <xf numFmtId="38" fontId="95" fillId="0" borderId="197" xfId="1" applyFont="1" applyBorder="1" applyAlignment="1">
      <alignment horizontal="center" vertical="center"/>
    </xf>
    <xf numFmtId="38" fontId="95" fillId="0" borderId="198" xfId="1" applyFont="1" applyBorder="1" applyAlignment="1">
      <alignment horizontal="center" vertical="center"/>
    </xf>
    <xf numFmtId="38" fontId="95" fillId="0" borderId="199" xfId="1" applyFont="1" applyBorder="1" applyAlignment="1">
      <alignment horizontal="center" vertical="center"/>
    </xf>
    <xf numFmtId="38" fontId="95" fillId="0" borderId="200" xfId="1" applyFont="1" applyBorder="1" applyAlignment="1">
      <alignment horizontal="center" vertical="center"/>
    </xf>
    <xf numFmtId="38" fontId="86" fillId="0" borderId="201" xfId="1" applyFont="1" applyBorder="1" applyAlignment="1">
      <alignment vertical="center"/>
    </xf>
    <xf numFmtId="38" fontId="86" fillId="0" borderId="196" xfId="1" applyFont="1" applyBorder="1" applyAlignment="1">
      <alignment vertical="center"/>
    </xf>
    <xf numFmtId="38" fontId="44" fillId="0" borderId="20" xfId="1" applyFont="1" applyBorder="1" applyAlignment="1">
      <alignment horizontal="center" vertical="center"/>
    </xf>
    <xf numFmtId="38" fontId="44" fillId="0" borderId="40" xfId="1" applyFont="1" applyBorder="1" applyAlignment="1">
      <alignment horizontal="center" vertical="center"/>
    </xf>
    <xf numFmtId="38" fontId="44" fillId="0" borderId="43" xfId="1" applyFont="1" applyBorder="1" applyAlignment="1">
      <alignment horizontal="center" vertical="center"/>
    </xf>
    <xf numFmtId="38" fontId="44" fillId="0" borderId="4" xfId="1" applyFont="1" applyBorder="1" applyAlignment="1">
      <alignment horizontal="center" vertical="center"/>
    </xf>
    <xf numFmtId="38" fontId="44" fillId="0" borderId="24" xfId="1" applyFont="1" applyBorder="1" applyAlignment="1">
      <alignment horizontal="center" vertical="center"/>
    </xf>
    <xf numFmtId="38" fontId="44" fillId="0" borderId="25" xfId="1" applyFont="1" applyBorder="1" applyAlignment="1">
      <alignment horizontal="center" vertical="center"/>
    </xf>
    <xf numFmtId="38" fontId="0" fillId="0" borderId="223" xfId="1" applyFont="1" applyBorder="1" applyAlignment="1">
      <alignment horizontal="center" vertical="center"/>
    </xf>
    <xf numFmtId="38" fontId="0" fillId="0" borderId="224" xfId="1" applyFont="1" applyBorder="1" applyAlignment="1">
      <alignment horizontal="center" vertical="center"/>
    </xf>
    <xf numFmtId="38" fontId="0" fillId="0" borderId="195" xfId="1" applyFont="1" applyBorder="1" applyAlignment="1">
      <alignment horizontal="center" vertical="center"/>
    </xf>
    <xf numFmtId="38" fontId="0" fillId="0" borderId="196" xfId="1" applyFont="1" applyBorder="1" applyAlignment="1">
      <alignment horizontal="center" vertical="center"/>
    </xf>
    <xf numFmtId="38" fontId="0" fillId="0" borderId="197" xfId="1" applyFont="1" applyBorder="1" applyAlignment="1">
      <alignment horizontal="center" vertical="center"/>
    </xf>
    <xf numFmtId="38" fontId="136" fillId="0" borderId="0" xfId="1" applyFont="1" applyAlignment="1">
      <alignment horizontal="left" wrapText="1"/>
    </xf>
    <xf numFmtId="38" fontId="0" fillId="0" borderId="12" xfId="1" applyFont="1" applyBorder="1" applyAlignment="1" applyProtection="1">
      <alignment horizontal="center"/>
      <protection locked="0"/>
    </xf>
    <xf numFmtId="38" fontId="44" fillId="0" borderId="0" xfId="1" applyFont="1" applyAlignment="1">
      <alignment horizontal="center" vertical="top" wrapText="1"/>
    </xf>
    <xf numFmtId="38" fontId="95" fillId="0" borderId="24" xfId="1" applyFont="1" applyBorder="1" applyAlignment="1">
      <alignment horizontal="center" vertical="center"/>
    </xf>
    <xf numFmtId="38" fontId="95" fillId="0" borderId="12" xfId="1" applyFont="1" applyBorder="1" applyAlignment="1">
      <alignment horizontal="center" vertical="center"/>
    </xf>
    <xf numFmtId="38" fontId="95" fillId="0" borderId="260" xfId="1" applyFont="1" applyBorder="1" applyAlignment="1">
      <alignment horizontal="center" vertical="center"/>
    </xf>
    <xf numFmtId="38" fontId="94" fillId="0" borderId="0" xfId="1" applyFont="1" applyAlignment="1">
      <alignment horizontal="left" vertical="center" wrapText="1"/>
    </xf>
    <xf numFmtId="38" fontId="93" fillId="0" borderId="0" xfId="1" applyFont="1" applyAlignment="1">
      <alignment horizontal="left" vertical="center" wrapText="1"/>
    </xf>
    <xf numFmtId="38" fontId="0" fillId="0" borderId="192" xfId="1" applyFont="1" applyBorder="1" applyAlignment="1">
      <alignment horizontal="center" vertical="center"/>
    </xf>
    <xf numFmtId="38" fontId="95" fillId="0" borderId="228" xfId="1" applyFont="1" applyBorder="1" applyAlignment="1">
      <alignment horizontal="center" vertical="center"/>
    </xf>
    <xf numFmtId="38" fontId="95" fillId="0" borderId="229" xfId="1" applyFont="1" applyBorder="1" applyAlignment="1">
      <alignment horizontal="center" vertical="center"/>
    </xf>
    <xf numFmtId="38" fontId="95" fillId="0" borderId="230" xfId="1" applyFont="1" applyBorder="1" applyAlignment="1">
      <alignment horizontal="center" vertical="center"/>
    </xf>
    <xf numFmtId="38" fontId="95" fillId="0" borderId="0" xfId="1" applyFont="1" applyAlignment="1">
      <alignment horizontal="center" vertical="center"/>
    </xf>
    <xf numFmtId="38" fontId="93" fillId="0" borderId="0" xfId="1" applyFont="1" applyBorder="1" applyAlignment="1">
      <alignment horizontal="left"/>
    </xf>
    <xf numFmtId="0" fontId="93" fillId="0" borderId="0" xfId="0" applyFont="1" applyAlignment="1">
      <alignment horizontal="left"/>
    </xf>
    <xf numFmtId="38" fontId="102" fillId="0" borderId="227" xfId="1" applyFont="1" applyBorder="1" applyAlignment="1">
      <alignment horizontal="center" vertical="center"/>
    </xf>
    <xf numFmtId="38" fontId="102" fillId="0" borderId="225" xfId="1" applyFont="1" applyBorder="1" applyAlignment="1">
      <alignment horizontal="center" vertical="center"/>
    </xf>
    <xf numFmtId="38" fontId="102" fillId="0" borderId="85" xfId="1" applyFont="1" applyBorder="1" applyAlignment="1">
      <alignment horizontal="center" vertical="center"/>
    </xf>
    <xf numFmtId="38" fontId="102" fillId="0" borderId="86" xfId="1" applyFont="1" applyBorder="1" applyAlignment="1">
      <alignment horizontal="center" vertical="center"/>
    </xf>
    <xf numFmtId="38" fontId="132" fillId="0" borderId="107" xfId="1" applyFont="1" applyBorder="1" applyAlignment="1">
      <alignment horizontal="center" vertical="center"/>
    </xf>
    <xf numFmtId="38" fontId="44" fillId="0" borderId="225" xfId="1" applyFont="1" applyBorder="1" applyAlignment="1">
      <alignment horizontal="center" vertical="center"/>
    </xf>
    <xf numFmtId="38" fontId="44" fillId="0" borderId="226" xfId="1" applyFont="1" applyBorder="1" applyAlignment="1">
      <alignment horizontal="center" vertical="center"/>
    </xf>
    <xf numFmtId="38" fontId="44" fillId="0" borderId="86" xfId="1" applyFont="1" applyBorder="1" applyAlignment="1">
      <alignment horizontal="center" vertical="center"/>
    </xf>
    <xf numFmtId="38" fontId="44" fillId="0" borderId="149" xfId="1" applyFont="1" applyBorder="1" applyAlignment="1">
      <alignment horizontal="center" vertical="center"/>
    </xf>
    <xf numFmtId="38" fontId="95" fillId="0" borderId="107" xfId="1" applyFont="1" applyBorder="1" applyAlignment="1">
      <alignment horizontal="left" vertical="center" shrinkToFit="1"/>
    </xf>
    <xf numFmtId="38" fontId="86" fillId="0" borderId="100" xfId="1" applyFont="1" applyBorder="1" applyAlignment="1">
      <alignment horizontal="right" vertical="center"/>
    </xf>
    <xf numFmtId="38" fontId="86" fillId="0" borderId="12" xfId="1" applyFont="1" applyBorder="1" applyAlignment="1">
      <alignment horizontal="right" vertical="center"/>
    </xf>
    <xf numFmtId="38" fontId="13" fillId="0" borderId="0" xfId="1" applyFont="1" applyAlignment="1">
      <alignment horizontal="distributed" vertical="center"/>
    </xf>
    <xf numFmtId="38" fontId="93" fillId="0" borderId="0" xfId="1" applyFont="1" applyAlignment="1">
      <alignment horizontal="left" vertical="center"/>
    </xf>
    <xf numFmtId="38" fontId="130" fillId="0" borderId="0" xfId="1" applyFont="1" applyAlignment="1">
      <alignment horizontal="left" wrapText="1"/>
    </xf>
    <xf numFmtId="38" fontId="94" fillId="0" borderId="90" xfId="1" applyFont="1" applyBorder="1" applyAlignment="1">
      <alignment horizontal="left" vertical="center" wrapText="1"/>
    </xf>
    <xf numFmtId="38" fontId="0" fillId="0" borderId="221" xfId="1" applyFont="1" applyBorder="1" applyAlignment="1">
      <alignment horizontal="center" vertical="center"/>
    </xf>
    <xf numFmtId="38" fontId="0" fillId="0" borderId="218" xfId="1" applyFont="1" applyBorder="1" applyAlignment="1">
      <alignment horizontal="center" vertical="center"/>
    </xf>
    <xf numFmtId="38" fontId="0" fillId="0" borderId="222" xfId="1" applyFont="1" applyBorder="1" applyAlignment="1">
      <alignment horizontal="center" vertical="center"/>
    </xf>
    <xf numFmtId="38" fontId="0" fillId="0" borderId="217" xfId="1" applyFont="1" applyBorder="1" applyAlignment="1">
      <alignment horizontal="center" vertical="center"/>
    </xf>
    <xf numFmtId="38" fontId="0" fillId="0" borderId="219" xfId="1" applyFont="1" applyBorder="1" applyAlignment="1">
      <alignment horizontal="center" vertical="center"/>
    </xf>
    <xf numFmtId="38" fontId="94" fillId="0" borderId="86" xfId="1" applyFont="1" applyBorder="1" applyAlignment="1">
      <alignment horizontal="center" vertical="center"/>
    </xf>
    <xf numFmtId="38" fontId="13" fillId="0" borderId="0" xfId="1" applyFont="1" applyAlignment="1">
      <alignment horizontal="distributed" vertical="center" wrapText="1"/>
    </xf>
    <xf numFmtId="38" fontId="13" fillId="0" borderId="0" xfId="1" applyFont="1" applyAlignment="1">
      <alignment horizontal="distributed" vertical="distributed"/>
    </xf>
    <xf numFmtId="0" fontId="128" fillId="0" borderId="17" xfId="0" applyFont="1" applyBorder="1" applyAlignment="1">
      <alignment horizontal="center" vertical="center"/>
    </xf>
    <xf numFmtId="0" fontId="107" fillId="0" borderId="0" xfId="0" applyFont="1" applyFill="1" applyBorder="1" applyAlignment="1">
      <alignment horizontal="left" vertical="top" wrapText="1"/>
    </xf>
    <xf numFmtId="0" fontId="107" fillId="0" borderId="107" xfId="0" applyFont="1" applyFill="1" applyBorder="1" applyAlignment="1">
      <alignment horizontal="left" vertical="top" wrapText="1"/>
    </xf>
    <xf numFmtId="38" fontId="8" fillId="0" borderId="38" xfId="1" applyFont="1" applyFill="1" applyBorder="1" applyAlignment="1" applyProtection="1">
      <alignment horizontal="center" vertical="center"/>
    </xf>
    <xf numFmtId="38" fontId="8" fillId="0" borderId="41" xfId="1" applyFont="1" applyFill="1" applyBorder="1" applyAlignment="1" applyProtection="1">
      <alignment horizontal="center" vertical="center"/>
    </xf>
    <xf numFmtId="38" fontId="8" fillId="0" borderId="151" xfId="1" applyFont="1" applyFill="1" applyBorder="1" applyAlignment="1" applyProtection="1">
      <alignment horizontal="center" vertical="center"/>
    </xf>
    <xf numFmtId="38" fontId="8" fillId="0" borderId="25" xfId="1" applyFont="1" applyFill="1" applyBorder="1" applyAlignment="1" applyProtection="1">
      <alignment horizontal="center" vertical="center"/>
    </xf>
    <xf numFmtId="38" fontId="3" fillId="0" borderId="0" xfId="0" applyNumberFormat="1" applyFont="1" applyFill="1" applyBorder="1" applyAlignment="1" applyProtection="1">
      <alignment horizontal="right" vertical="center"/>
    </xf>
    <xf numFmtId="0" fontId="3" fillId="0" borderId="0" xfId="0" applyFont="1" applyFill="1" applyBorder="1" applyAlignment="1" applyProtection="1">
      <alignment horizontal="right" vertical="center"/>
    </xf>
    <xf numFmtId="38" fontId="3" fillId="0" borderId="15" xfId="1" applyFont="1" applyFill="1" applyBorder="1" applyAlignment="1" applyProtection="1">
      <alignment horizontal="center" vertical="center"/>
    </xf>
    <xf numFmtId="38" fontId="3" fillId="0" borderId="208" xfId="1" applyFont="1" applyFill="1" applyBorder="1" applyAlignment="1" applyProtection="1">
      <alignment horizontal="center" vertical="center"/>
    </xf>
    <xf numFmtId="38" fontId="16" fillId="0" borderId="41" xfId="1" applyFont="1" applyFill="1" applyBorder="1" applyAlignment="1" applyProtection="1">
      <alignment horizontal="right" vertical="center"/>
    </xf>
    <xf numFmtId="38" fontId="16" fillId="0" borderId="25" xfId="1" applyFont="1" applyFill="1" applyBorder="1" applyAlignment="1" applyProtection="1">
      <alignment horizontal="right" vertical="center"/>
    </xf>
    <xf numFmtId="0" fontId="8" fillId="0" borderId="32"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38" fontId="3" fillId="0" borderId="0" xfId="0" applyNumberFormat="1" applyFont="1" applyFill="1" applyBorder="1" applyAlignment="1" applyProtection="1">
      <alignment horizontal="center" vertical="center"/>
    </xf>
    <xf numFmtId="38" fontId="9" fillId="0" borderId="20" xfId="1" applyFont="1" applyFill="1" applyBorder="1" applyAlignment="1" applyProtection="1">
      <alignment horizontal="center" vertical="center"/>
    </xf>
    <xf numFmtId="38" fontId="9" fillId="0" borderId="21" xfId="1" applyFont="1" applyFill="1" applyBorder="1" applyAlignment="1" applyProtection="1">
      <alignment horizontal="center" vertical="center"/>
    </xf>
    <xf numFmtId="38" fontId="9" fillId="0" borderId="40" xfId="1" applyFont="1" applyFill="1" applyBorder="1" applyAlignment="1" applyProtection="1">
      <alignment horizontal="center" vertical="center"/>
    </xf>
    <xf numFmtId="38" fontId="8"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38" fontId="8" fillId="0" borderId="5" xfId="0" applyNumberFormat="1"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3" fillId="0" borderId="40"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38" fontId="42" fillId="0" borderId="1" xfId="1" applyFont="1" applyFill="1" applyBorder="1" applyAlignment="1" applyProtection="1">
      <alignment horizontal="center" vertical="center"/>
    </xf>
    <xf numFmtId="0" fontId="48" fillId="0" borderId="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47" xfId="0" applyFont="1" applyFill="1" applyBorder="1" applyAlignment="1" applyProtection="1">
      <alignment horizontal="center" vertical="center"/>
    </xf>
    <xf numFmtId="0" fontId="71" fillId="0" borderId="237" xfId="0" applyFont="1" applyFill="1" applyBorder="1" applyAlignment="1" applyProtection="1">
      <alignment horizontal="center" vertical="top" textRotation="255"/>
    </xf>
    <xf numFmtId="0" fontId="71" fillId="0" borderId="23" xfId="0" applyFont="1" applyFill="1" applyBorder="1" applyAlignment="1" applyProtection="1">
      <alignment horizontal="center" vertical="top" textRotation="255"/>
    </xf>
    <xf numFmtId="38" fontId="3" fillId="0" borderId="8" xfId="1" applyFont="1" applyFill="1" applyBorder="1" applyAlignment="1" applyProtection="1">
      <alignment horizontal="center" vertical="center"/>
    </xf>
    <xf numFmtId="38" fontId="3" fillId="0" borderId="39" xfId="1" applyFont="1" applyFill="1" applyBorder="1" applyAlignment="1" applyProtection="1">
      <alignment horizontal="center" vertical="center"/>
    </xf>
    <xf numFmtId="38" fontId="3" fillId="0" borderId="11" xfId="1" applyFont="1" applyFill="1" applyBorder="1" applyAlignment="1" applyProtection="1">
      <alignment horizontal="center" vertical="center"/>
    </xf>
    <xf numFmtId="38" fontId="16" fillId="3" borderId="41" xfId="1" applyFont="1" applyFill="1" applyBorder="1" applyAlignment="1" applyProtection="1">
      <alignment horizontal="right" vertical="center" shrinkToFit="1"/>
    </xf>
    <xf numFmtId="38" fontId="16" fillId="3" borderId="25" xfId="1" applyFont="1" applyFill="1" applyBorder="1" applyAlignment="1" applyProtection="1">
      <alignment horizontal="right" vertical="center" shrinkToFit="1"/>
    </xf>
    <xf numFmtId="0" fontId="63" fillId="0" borderId="0" xfId="0" applyFont="1" applyFill="1" applyAlignment="1" applyProtection="1">
      <alignment horizontal="center" vertical="center"/>
    </xf>
    <xf numFmtId="0" fontId="5" fillId="3" borderId="236" xfId="0" applyFont="1" applyFill="1" applyBorder="1" applyAlignment="1" applyProtection="1">
      <alignment horizontal="center" vertical="center"/>
    </xf>
    <xf numFmtId="0" fontId="5" fillId="3" borderId="238" xfId="0" applyFont="1" applyFill="1" applyBorder="1" applyAlignment="1" applyProtection="1">
      <alignment horizontal="center" vertical="center"/>
    </xf>
    <xf numFmtId="0" fontId="8" fillId="0" borderId="43"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44" xfId="0" applyFont="1" applyFill="1" applyBorder="1" applyAlignment="1" applyProtection="1">
      <alignment horizontal="center" vertical="center" shrinkToFit="1"/>
    </xf>
    <xf numFmtId="0" fontId="8" fillId="0" borderId="24" xfId="0" applyFont="1" applyFill="1" applyBorder="1" applyAlignment="1" applyProtection="1">
      <alignment horizontal="center" vertical="center" shrinkToFit="1"/>
    </xf>
    <xf numFmtId="0" fontId="8" fillId="0" borderId="12" xfId="0" applyFont="1" applyFill="1" applyBorder="1" applyAlignment="1" applyProtection="1">
      <alignment horizontal="center" vertical="center" shrinkToFit="1"/>
    </xf>
    <xf numFmtId="0" fontId="8" fillId="0" borderId="152" xfId="0" applyFont="1" applyFill="1" applyBorder="1" applyAlignment="1" applyProtection="1">
      <alignment horizontal="center" vertical="center" shrinkToFit="1"/>
    </xf>
    <xf numFmtId="0" fontId="19" fillId="0" borderId="38" xfId="0" applyFont="1" applyFill="1" applyBorder="1" applyAlignment="1" applyProtection="1">
      <alignment horizontal="center" vertical="center"/>
    </xf>
    <xf numFmtId="0" fontId="19" fillId="0" borderId="225" xfId="0" applyFont="1" applyFill="1" applyBorder="1" applyAlignment="1" applyProtection="1">
      <alignment horizontal="center" vertical="center"/>
    </xf>
    <xf numFmtId="0" fontId="19" fillId="0" borderId="41" xfId="0" applyFont="1" applyFill="1" applyBorder="1" applyAlignment="1" applyProtection="1">
      <alignment horizontal="center" vertical="center"/>
    </xf>
    <xf numFmtId="0" fontId="19" fillId="0" borderId="151"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3" fillId="0" borderId="38"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5" fillId="0" borderId="231" xfId="0" applyFont="1" applyFill="1" applyBorder="1" applyAlignment="1" applyProtection="1">
      <alignment horizontal="center" vertical="center" shrinkToFit="1"/>
    </xf>
    <xf numFmtId="0" fontId="15" fillId="0" borderId="225" xfId="0" applyFont="1" applyFill="1" applyBorder="1" applyAlignment="1" applyProtection="1">
      <alignment horizontal="center" vertical="center" shrinkToFit="1"/>
    </xf>
    <xf numFmtId="0" fontId="15" fillId="0" borderId="57" xfId="0" applyFont="1" applyFill="1" applyBorder="1" applyAlignment="1" applyProtection="1">
      <alignment horizontal="center" vertical="center" shrinkToFit="1"/>
    </xf>
    <xf numFmtId="0" fontId="15" fillId="0" borderId="43" xfId="0" applyFont="1" applyFill="1" applyBorder="1" applyAlignment="1" applyProtection="1">
      <alignment horizontal="center" vertical="center" shrinkToFit="1"/>
    </xf>
    <xf numFmtId="0" fontId="15" fillId="0" borderId="0" xfId="0" applyFont="1" applyFill="1" applyBorder="1" applyAlignment="1" applyProtection="1">
      <alignment horizontal="center" vertical="center" shrinkToFit="1"/>
    </xf>
    <xf numFmtId="0" fontId="15" fillId="0" borderId="44" xfId="0" applyFont="1" applyFill="1" applyBorder="1" applyAlignment="1" applyProtection="1">
      <alignment horizontal="center" vertical="center" shrinkToFit="1"/>
    </xf>
    <xf numFmtId="0" fontId="15" fillId="0" borderId="38" xfId="0" applyFont="1" applyFill="1" applyBorder="1" applyAlignment="1" applyProtection="1">
      <alignment horizontal="center" vertical="center" shrinkToFit="1"/>
    </xf>
    <xf numFmtId="0" fontId="15" fillId="0" borderId="28" xfId="0" applyFont="1" applyFill="1" applyBorder="1" applyAlignment="1" applyProtection="1">
      <alignment horizontal="center" vertical="center" shrinkToFit="1"/>
    </xf>
    <xf numFmtId="0" fontId="15" fillId="0" borderId="29" xfId="0" applyFont="1" applyFill="1" applyBorder="1" applyAlignment="1" applyProtection="1">
      <alignment horizontal="center" vertical="center" shrinkToFit="1"/>
    </xf>
    <xf numFmtId="0" fontId="3" fillId="0" borderId="69" xfId="0" applyFont="1" applyFill="1" applyBorder="1" applyAlignment="1" applyProtection="1">
      <alignment horizontal="center" vertical="center" shrinkToFit="1"/>
    </xf>
    <xf numFmtId="0" fontId="15" fillId="0" borderId="57" xfId="0" applyNumberFormat="1" applyFont="1" applyFill="1" applyBorder="1" applyAlignment="1" applyProtection="1">
      <alignment horizontal="center" vertical="center" shrinkToFit="1"/>
    </xf>
    <xf numFmtId="0" fontId="15" fillId="0" borderId="30" xfId="0" applyNumberFormat="1" applyFont="1" applyFill="1" applyBorder="1" applyAlignment="1" applyProtection="1">
      <alignment horizontal="center" vertical="center" shrinkToFit="1"/>
    </xf>
    <xf numFmtId="0" fontId="67" fillId="0" borderId="91" xfId="0" applyFont="1" applyFill="1" applyBorder="1" applyAlignment="1" applyProtection="1">
      <alignment horizontal="center" vertical="center" shrinkToFit="1"/>
    </xf>
    <xf numFmtId="0" fontId="67" fillId="0" borderId="92" xfId="0" applyFont="1" applyFill="1" applyBorder="1" applyAlignment="1" applyProtection="1">
      <alignment horizontal="center" vertical="center" shrinkToFit="1"/>
    </xf>
    <xf numFmtId="38" fontId="9" fillId="0" borderId="38" xfId="1" applyFont="1" applyFill="1" applyBorder="1" applyAlignment="1" applyProtection="1">
      <alignment horizontal="center" vertical="center"/>
    </xf>
    <xf numFmtId="38" fontId="9" fillId="0" borderId="151" xfId="1" applyFont="1" applyFill="1" applyBorder="1" applyAlignment="1" applyProtection="1">
      <alignment horizontal="center" vertical="center"/>
    </xf>
    <xf numFmtId="38" fontId="15" fillId="0" borderId="41" xfId="1" applyFont="1" applyFill="1" applyBorder="1" applyAlignment="1" applyProtection="1">
      <alignment horizontal="center" vertical="center" shrinkToFit="1"/>
    </xf>
    <xf numFmtId="38" fontId="15" fillId="0" borderId="25" xfId="1" applyFont="1" applyFill="1" applyBorder="1" applyAlignment="1" applyProtection="1">
      <alignment horizontal="center" vertical="center" shrinkToFit="1"/>
    </xf>
    <xf numFmtId="38" fontId="15" fillId="0" borderId="225" xfId="1" applyFont="1" applyFill="1" applyBorder="1" applyAlignment="1" applyProtection="1">
      <alignment horizontal="center" vertical="center" shrinkToFit="1"/>
    </xf>
    <xf numFmtId="38" fontId="15" fillId="0" borderId="12" xfId="1" applyFont="1" applyFill="1" applyBorder="1" applyAlignment="1" applyProtection="1">
      <alignment horizontal="center" vertical="center" shrinkToFit="1"/>
    </xf>
    <xf numFmtId="38" fontId="3" fillId="3" borderId="15" xfId="1" applyFont="1" applyFill="1" applyBorder="1" applyAlignment="1" applyProtection="1">
      <alignment horizontal="center" vertical="center"/>
    </xf>
    <xf numFmtId="38" fontId="3" fillId="3" borderId="208" xfId="1"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3" fillId="3" borderId="133" xfId="0" applyFont="1" applyFill="1" applyBorder="1" applyAlignment="1" applyProtection="1">
      <alignment horizontal="center" vertical="center"/>
    </xf>
    <xf numFmtId="3" fontId="15" fillId="3" borderId="225" xfId="0" applyNumberFormat="1" applyFont="1" applyFill="1" applyBorder="1" applyAlignment="1" applyProtection="1">
      <alignment vertical="center" shrinkToFit="1"/>
    </xf>
    <xf numFmtId="0" fontId="75" fillId="3" borderId="0" xfId="0" applyFont="1" applyFill="1" applyBorder="1" applyProtection="1">
      <alignment vertical="center"/>
    </xf>
    <xf numFmtId="0" fontId="3" fillId="3" borderId="16" xfId="0" applyFont="1" applyFill="1" applyBorder="1" applyAlignment="1" applyProtection="1">
      <alignment horizontal="left" vertical="center"/>
    </xf>
    <xf numFmtId="0" fontId="3" fillId="3" borderId="41" xfId="0" applyFont="1" applyFill="1" applyBorder="1" applyAlignment="1" applyProtection="1">
      <alignment horizontal="left" vertical="center"/>
    </xf>
    <xf numFmtId="3" fontId="15" fillId="0" borderId="31" xfId="0" applyNumberFormat="1" applyFont="1" applyFill="1" applyBorder="1" applyAlignment="1" applyProtection="1">
      <alignment vertical="center" shrinkToFit="1"/>
    </xf>
    <xf numFmtId="0" fontId="15" fillId="0" borderId="31" xfId="0" applyFont="1" applyFill="1" applyBorder="1" applyAlignment="1" applyProtection="1">
      <alignment vertical="center" shrinkToFit="1"/>
    </xf>
    <xf numFmtId="0" fontId="3" fillId="0" borderId="16" xfId="0" applyFont="1" applyFill="1" applyBorder="1" applyAlignment="1" applyProtection="1">
      <alignment horizontal="left" vertical="center"/>
    </xf>
    <xf numFmtId="0" fontId="3" fillId="0" borderId="10" xfId="0" applyFont="1" applyFill="1" applyBorder="1" applyAlignment="1" applyProtection="1">
      <alignment horizontal="center" vertical="center"/>
    </xf>
    <xf numFmtId="0" fontId="0" fillId="0" borderId="39" xfId="0" applyBorder="1" applyProtection="1">
      <alignment vertical="center"/>
    </xf>
    <xf numFmtId="0" fontId="0" fillId="0" borderId="11" xfId="0" applyBorder="1" applyProtection="1">
      <alignment vertical="center"/>
    </xf>
    <xf numFmtId="181" fontId="41" fillId="0" borderId="6" xfId="0" applyNumberFormat="1" applyFont="1" applyFill="1" applyBorder="1" applyAlignment="1" applyProtection="1">
      <alignment horizontal="center" vertical="center"/>
    </xf>
    <xf numFmtId="181" fontId="41" fillId="0" borderId="7" xfId="0" applyNumberFormat="1" applyFont="1" applyFill="1" applyBorder="1" applyAlignment="1" applyProtection="1">
      <alignment horizontal="center" vertical="center"/>
    </xf>
    <xf numFmtId="0" fontId="5" fillId="0" borderId="5"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0" fontId="5" fillId="0" borderId="7" xfId="0" applyFont="1" applyFill="1" applyBorder="1" applyAlignment="1" applyProtection="1">
      <alignment horizontal="center" vertical="center" shrinkToFit="1"/>
    </xf>
    <xf numFmtId="0" fontId="5" fillId="0" borderId="232" xfId="0" applyFont="1" applyFill="1" applyBorder="1" applyAlignment="1" applyProtection="1">
      <alignment horizontal="center" vertical="center"/>
    </xf>
    <xf numFmtId="0" fontId="5" fillId="0" borderId="126" xfId="0" applyFont="1" applyFill="1" applyBorder="1" applyAlignment="1" applyProtection="1">
      <alignment horizontal="center" vertical="center"/>
    </xf>
    <xf numFmtId="0" fontId="5" fillId="0" borderId="127" xfId="0" applyFont="1" applyFill="1" applyBorder="1" applyAlignment="1" applyProtection="1">
      <alignment horizontal="center" vertical="center"/>
    </xf>
    <xf numFmtId="38" fontId="5" fillId="0" borderId="20" xfId="1" applyFont="1" applyFill="1" applyBorder="1" applyAlignment="1" applyProtection="1">
      <alignment horizontal="center" vertical="center"/>
    </xf>
    <xf numFmtId="38" fontId="5" fillId="0" borderId="21" xfId="1" applyFont="1" applyFill="1" applyBorder="1" applyAlignment="1" applyProtection="1">
      <alignment horizontal="center" vertical="center"/>
    </xf>
    <xf numFmtId="38" fontId="5" fillId="0" borderId="40" xfId="1" applyFont="1" applyFill="1" applyBorder="1" applyAlignment="1" applyProtection="1">
      <alignment horizontal="center" vertical="center"/>
    </xf>
    <xf numFmtId="0" fontId="3" fillId="0" borderId="61" xfId="0" applyFont="1" applyFill="1" applyBorder="1" applyAlignment="1" applyProtection="1">
      <alignment horizontal="center" vertical="center" shrinkToFit="1"/>
    </xf>
    <xf numFmtId="0" fontId="3" fillId="0" borderId="46" xfId="0" applyFont="1" applyFill="1" applyBorder="1" applyAlignment="1" applyProtection="1">
      <alignment horizontal="center" vertical="center" shrinkToFit="1"/>
    </xf>
    <xf numFmtId="0" fontId="3" fillId="0" borderId="67" xfId="0" applyFont="1" applyFill="1" applyBorder="1" applyAlignment="1" applyProtection="1">
      <alignment horizontal="center" vertical="center" shrinkToFit="1"/>
    </xf>
    <xf numFmtId="38" fontId="19" fillId="0" borderId="60" xfId="0" applyNumberFormat="1" applyFont="1" applyFill="1" applyBorder="1" applyAlignment="1" applyProtection="1">
      <alignment horizontal="center" vertical="center" wrapText="1"/>
    </xf>
    <xf numFmtId="38" fontId="19" fillId="0" borderId="0" xfId="0" applyNumberFormat="1" applyFont="1" applyFill="1" applyBorder="1" applyAlignment="1" applyProtection="1">
      <alignment horizontal="center" vertical="center" wrapText="1"/>
    </xf>
    <xf numFmtId="38" fontId="19" fillId="0" borderId="66" xfId="0" applyNumberFormat="1" applyFont="1" applyFill="1" applyBorder="1" applyAlignment="1" applyProtection="1">
      <alignment horizontal="center" vertical="center" wrapText="1"/>
    </xf>
    <xf numFmtId="0" fontId="74" fillId="0" borderId="59" xfId="0" applyFont="1" applyFill="1" applyBorder="1" applyAlignment="1" applyProtection="1">
      <alignment horizontal="center" vertical="center" wrapText="1"/>
    </xf>
    <xf numFmtId="0" fontId="74" fillId="0" borderId="64" xfId="0" applyFont="1" applyFill="1" applyBorder="1" applyAlignment="1" applyProtection="1">
      <alignment horizontal="center" vertical="center" wrapText="1"/>
    </xf>
    <xf numFmtId="0" fontId="74" fillId="0" borderId="65" xfId="0" applyFont="1" applyFill="1" applyBorder="1" applyAlignment="1" applyProtection="1">
      <alignment horizontal="center" vertical="center" wrapText="1"/>
    </xf>
    <xf numFmtId="0" fontId="32" fillId="0" borderId="21" xfId="0" applyFont="1" applyFill="1" applyBorder="1" applyAlignment="1" applyProtection="1">
      <alignment horizontal="left" vertical="center"/>
    </xf>
    <xf numFmtId="0" fontId="73" fillId="0" borderId="59" xfId="0" applyFont="1" applyFill="1" applyBorder="1" applyAlignment="1" applyProtection="1">
      <alignment horizontal="center" vertical="center" wrapText="1"/>
    </xf>
    <xf numFmtId="0" fontId="73" fillId="0" borderId="64" xfId="0" applyFont="1" applyFill="1" applyBorder="1" applyAlignment="1" applyProtection="1">
      <alignment horizontal="center" vertical="center" wrapText="1"/>
    </xf>
    <xf numFmtId="0" fontId="73" fillId="0" borderId="65" xfId="0" applyFont="1" applyFill="1" applyBorder="1" applyAlignment="1" applyProtection="1">
      <alignment horizontal="center" vertical="center" wrapText="1"/>
    </xf>
    <xf numFmtId="38" fontId="16" fillId="0" borderId="16" xfId="1" applyFont="1" applyFill="1" applyBorder="1" applyAlignment="1" applyProtection="1">
      <alignment horizontal="right" vertical="center" shrinkToFit="1"/>
    </xf>
    <xf numFmtId="38" fontId="16" fillId="0" borderId="58" xfId="1" applyFont="1" applyFill="1" applyBorder="1" applyAlignment="1" applyProtection="1">
      <alignment horizontal="right" vertical="center" shrinkToFit="1"/>
    </xf>
    <xf numFmtId="0" fontId="15" fillId="0" borderId="38" xfId="0" applyNumberFormat="1" applyFont="1" applyFill="1" applyBorder="1" applyAlignment="1" applyProtection="1">
      <alignment horizontal="center" vertical="center" shrinkToFit="1"/>
    </xf>
    <xf numFmtId="0" fontId="15" fillId="0" borderId="225" xfId="0" applyNumberFormat="1" applyFont="1" applyFill="1" applyBorder="1" applyAlignment="1" applyProtection="1">
      <alignment horizontal="center" vertical="center" shrinkToFit="1"/>
    </xf>
    <xf numFmtId="0" fontId="15" fillId="0" borderId="28" xfId="0" applyNumberFormat="1" applyFont="1" applyFill="1" applyBorder="1" applyAlignment="1" applyProtection="1">
      <alignment horizontal="center" vertical="center" shrinkToFit="1"/>
    </xf>
    <xf numFmtId="0" fontId="15" fillId="0" borderId="29" xfId="0" applyNumberFormat="1" applyFont="1" applyFill="1" applyBorder="1" applyAlignment="1" applyProtection="1">
      <alignment horizontal="center" vertical="center" shrinkToFit="1"/>
    </xf>
    <xf numFmtId="3" fontId="15" fillId="3" borderId="29" xfId="0" applyNumberFormat="1" applyFont="1" applyFill="1" applyBorder="1" applyAlignment="1" applyProtection="1">
      <alignment vertical="center" shrinkToFit="1"/>
    </xf>
    <xf numFmtId="38" fontId="20" fillId="0" borderId="0" xfId="1" applyFont="1" applyFill="1" applyBorder="1" applyAlignment="1" applyProtection="1">
      <alignment horizontal="center" vertical="center"/>
    </xf>
    <xf numFmtId="38" fontId="20" fillId="0" borderId="21" xfId="1" applyFont="1" applyFill="1" applyBorder="1" applyAlignment="1" applyProtection="1">
      <alignment horizontal="center" vertical="center"/>
    </xf>
    <xf numFmtId="38" fontId="16" fillId="0" borderId="41" xfId="1" applyFont="1" applyFill="1" applyBorder="1" applyAlignment="1" applyProtection="1">
      <alignment horizontal="right" vertical="center" shrinkToFit="1"/>
    </xf>
    <xf numFmtId="38" fontId="16" fillId="0" borderId="25" xfId="1" applyFont="1" applyFill="1" applyBorder="1" applyAlignment="1" applyProtection="1">
      <alignment horizontal="right" vertical="center" shrinkToFit="1"/>
    </xf>
    <xf numFmtId="0" fontId="5" fillId="3" borderId="118" xfId="0" applyFont="1" applyFill="1" applyBorder="1" applyAlignment="1" applyProtection="1">
      <alignment horizontal="left" vertical="center"/>
    </xf>
    <xf numFmtId="0" fontId="5" fillId="3" borderId="114" xfId="0" applyFont="1" applyFill="1" applyBorder="1" applyAlignment="1" applyProtection="1">
      <alignment horizontal="left" vertical="center"/>
    </xf>
    <xf numFmtId="3" fontId="19" fillId="3" borderId="117" xfId="0" applyNumberFormat="1" applyFont="1" applyFill="1" applyBorder="1" applyAlignment="1" applyProtection="1">
      <alignment vertical="center" shrinkToFit="1"/>
    </xf>
    <xf numFmtId="0" fontId="76" fillId="3" borderId="112" xfId="0" applyFont="1" applyFill="1" applyBorder="1" applyProtection="1">
      <alignment vertical="center"/>
    </xf>
    <xf numFmtId="38" fontId="3" fillId="0" borderId="15" xfId="1" applyFont="1" applyFill="1" applyBorder="1" applyAlignment="1" applyProtection="1">
      <alignment horizontal="center" vertical="center" shrinkToFit="1"/>
    </xf>
    <xf numFmtId="38" fontId="3" fillId="0" borderId="208" xfId="1" applyFont="1" applyFill="1" applyBorder="1" applyAlignment="1" applyProtection="1">
      <alignment horizontal="center" vertical="center" shrinkToFit="1"/>
    </xf>
    <xf numFmtId="38" fontId="9" fillId="0" borderId="20" xfId="1" applyFont="1" applyFill="1" applyBorder="1" applyAlignment="1" applyProtection="1">
      <alignment horizontal="center" vertical="center" shrinkToFit="1"/>
    </xf>
    <xf numFmtId="38" fontId="9" fillId="0" borderId="21" xfId="1" applyFont="1" applyFill="1" applyBorder="1" applyAlignment="1" applyProtection="1">
      <alignment horizontal="center" vertical="center" shrinkToFit="1"/>
    </xf>
    <xf numFmtId="38" fontId="9" fillId="0" borderId="40" xfId="1" applyFont="1" applyFill="1" applyBorder="1" applyAlignment="1" applyProtection="1">
      <alignment horizontal="center" vertical="center" shrinkToFit="1"/>
    </xf>
    <xf numFmtId="38" fontId="15" fillId="0" borderId="12" xfId="1" applyFont="1" applyFill="1" applyBorder="1" applyAlignment="1" applyProtection="1">
      <alignment horizontal="center" vertical="center"/>
    </xf>
    <xf numFmtId="0" fontId="3" fillId="0" borderId="43" xfId="0" applyFont="1" applyFill="1" applyBorder="1" applyAlignment="1" applyProtection="1">
      <alignment horizontal="left" vertical="center"/>
    </xf>
    <xf numFmtId="0" fontId="5" fillId="0" borderId="0" xfId="0" applyFont="1" applyFill="1" applyBorder="1" applyAlignment="1" applyProtection="1">
      <alignment horizontal="right" vertical="center"/>
    </xf>
    <xf numFmtId="180" fontId="19" fillId="0" borderId="240" xfId="0" applyNumberFormat="1" applyFont="1" applyFill="1" applyBorder="1" applyAlignment="1" applyProtection="1">
      <alignment horizontal="center" vertical="center" shrinkToFit="1"/>
    </xf>
    <xf numFmtId="180" fontId="19" fillId="0" borderId="241" xfId="0" applyNumberFormat="1" applyFont="1" applyFill="1" applyBorder="1" applyAlignment="1" applyProtection="1">
      <alignment horizontal="center" vertical="center" shrinkToFit="1"/>
    </xf>
    <xf numFmtId="38" fontId="15" fillId="0" borderId="0" xfId="1" applyFont="1" applyFill="1" applyBorder="1" applyAlignment="1" applyProtection="1">
      <alignment horizontal="center" vertical="center"/>
    </xf>
    <xf numFmtId="178" fontId="16" fillId="0" borderId="0" xfId="1" applyNumberFormat="1" applyFont="1" applyFill="1" applyAlignment="1" applyProtection="1">
      <alignment horizontal="center" vertical="center"/>
    </xf>
    <xf numFmtId="0" fontId="5" fillId="0" borderId="4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39" fillId="0" borderId="261" xfId="0" applyFont="1" applyFill="1" applyBorder="1" applyAlignment="1" applyProtection="1">
      <alignment horizontal="center" vertical="center"/>
    </xf>
    <xf numFmtId="0" fontId="139" fillId="0" borderId="262" xfId="0" applyFont="1" applyFill="1" applyBorder="1" applyAlignment="1" applyProtection="1">
      <alignment horizontal="center" vertical="center"/>
    </xf>
    <xf numFmtId="38" fontId="5" fillId="0" borderId="12" xfId="1" applyFont="1" applyFill="1" applyBorder="1" applyAlignment="1" applyProtection="1">
      <alignment horizontal="center" vertical="center"/>
    </xf>
    <xf numFmtId="3" fontId="15" fillId="0" borderId="0" xfId="0" applyNumberFormat="1" applyFont="1" applyFill="1" applyBorder="1" applyAlignment="1" applyProtection="1">
      <alignment horizontal="center" vertical="center"/>
    </xf>
    <xf numFmtId="176" fontId="15" fillId="0" borderId="0" xfId="0" applyNumberFormat="1" applyFont="1" applyFill="1" applyBorder="1" applyAlignment="1" applyProtection="1">
      <alignment horizontal="center" vertical="center"/>
    </xf>
    <xf numFmtId="38" fontId="15" fillId="0" borderId="0" xfId="1" applyFont="1" applyFill="1" applyBorder="1" applyAlignment="1" applyProtection="1">
      <alignment horizontal="right" vertical="center"/>
    </xf>
    <xf numFmtId="3" fontId="3" fillId="0" borderId="0" xfId="0" applyNumberFormat="1" applyFont="1" applyFill="1" applyBorder="1" applyAlignment="1" applyProtection="1">
      <alignment horizontal="center" vertical="center"/>
    </xf>
    <xf numFmtId="181" fontId="32" fillId="0" borderId="0" xfId="0" applyNumberFormat="1" applyFont="1" applyFill="1" applyAlignment="1" applyProtection="1">
      <alignment horizontal="center" vertical="center"/>
    </xf>
    <xf numFmtId="0" fontId="138" fillId="0" borderId="21" xfId="0" applyFont="1" applyFill="1" applyBorder="1" applyAlignment="1" applyProtection="1">
      <alignment horizontal="center" vertical="center"/>
    </xf>
    <xf numFmtId="3" fontId="5" fillId="0" borderId="0" xfId="0" applyNumberFormat="1"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0" fillId="0" borderId="0" xfId="0" applyFont="1" applyFill="1" applyAlignment="1" applyProtection="1">
      <alignment horizontal="right" vertical="center"/>
    </xf>
    <xf numFmtId="0" fontId="22" fillId="0" borderId="21" xfId="0" applyFont="1" applyFill="1" applyBorder="1" applyAlignment="1" applyProtection="1">
      <alignment horizontal="center" vertical="center"/>
    </xf>
    <xf numFmtId="0" fontId="22" fillId="0" borderId="242" xfId="0" applyFont="1" applyFill="1" applyBorder="1" applyAlignment="1" applyProtection="1">
      <alignment horizontal="center" vertical="center"/>
    </xf>
    <xf numFmtId="38" fontId="26" fillId="7" borderId="0" xfId="1" applyFont="1" applyFill="1" applyBorder="1" applyAlignment="1" applyProtection="1">
      <alignment horizontal="left" vertical="center"/>
    </xf>
    <xf numFmtId="38" fontId="86" fillId="3" borderId="29" xfId="1" applyFont="1" applyFill="1" applyBorder="1" applyAlignment="1">
      <alignment horizontal="left" vertical="center" shrinkToFit="1"/>
    </xf>
    <xf numFmtId="38" fontId="3" fillId="3" borderId="31" xfId="1" applyFont="1" applyFill="1" applyBorder="1" applyAlignment="1" applyProtection="1">
      <alignment horizontal="center" vertical="center"/>
    </xf>
    <xf numFmtId="182" fontId="16" fillId="3" borderId="31" xfId="1" applyNumberFormat="1" applyFont="1" applyFill="1" applyBorder="1" applyAlignment="1" applyProtection="1">
      <alignment horizontal="center" vertical="center" shrinkToFit="1"/>
    </xf>
    <xf numFmtId="182" fontId="16" fillId="3" borderId="14" xfId="1" applyNumberFormat="1" applyFont="1" applyFill="1" applyBorder="1" applyAlignment="1" applyProtection="1">
      <alignment horizontal="center" vertical="center" shrinkToFit="1"/>
    </xf>
    <xf numFmtId="38" fontId="10" fillId="3" borderId="43" xfId="1" applyFont="1" applyFill="1" applyBorder="1" applyAlignment="1" applyProtection="1">
      <alignment horizontal="left" vertical="center"/>
    </xf>
    <xf numFmtId="38" fontId="10" fillId="3" borderId="0" xfId="1" applyFont="1" applyFill="1" applyBorder="1" applyAlignment="1" applyProtection="1">
      <alignment horizontal="left" vertical="center"/>
    </xf>
    <xf numFmtId="38" fontId="10" fillId="3" borderId="0" xfId="1" applyFont="1" applyFill="1" applyBorder="1" applyAlignment="1" applyProtection="1">
      <alignment horizontal="left" vertical="center" shrinkToFit="1"/>
    </xf>
    <xf numFmtId="38" fontId="3" fillId="3" borderId="13" xfId="1" applyFont="1" applyFill="1" applyBorder="1" applyAlignment="1" applyProtection="1">
      <alignment horizontal="center" vertical="center"/>
    </xf>
    <xf numFmtId="49" fontId="9" fillId="7" borderId="29" xfId="1" applyNumberFormat="1" applyFont="1" applyFill="1" applyBorder="1" applyAlignment="1" applyProtection="1">
      <alignment horizontal="left" vertical="center"/>
    </xf>
    <xf numFmtId="49" fontId="9" fillId="7" borderId="51" xfId="1" applyNumberFormat="1" applyFont="1" applyFill="1" applyBorder="1" applyAlignment="1" applyProtection="1">
      <alignment horizontal="left" vertical="center"/>
    </xf>
    <xf numFmtId="38" fontId="16" fillId="3" borderId="31" xfId="1" applyNumberFormat="1" applyFont="1" applyFill="1" applyBorder="1" applyAlignment="1" applyProtection="1">
      <alignment horizontal="center" vertical="center" shrinkToFit="1"/>
    </xf>
    <xf numFmtId="38" fontId="16" fillId="3" borderId="14" xfId="1" applyNumberFormat="1" applyFont="1" applyFill="1" applyBorder="1" applyAlignment="1" applyProtection="1">
      <alignment horizontal="center" vertical="center" shrinkToFit="1"/>
    </xf>
    <xf numFmtId="38" fontId="26" fillId="3" borderId="29" xfId="1" applyFont="1" applyFill="1" applyBorder="1" applyAlignment="1" applyProtection="1">
      <alignment horizontal="center" vertical="center"/>
    </xf>
    <xf numFmtId="38" fontId="15" fillId="0" borderId="16" xfId="1" applyFont="1" applyFill="1" applyBorder="1" applyAlignment="1" applyProtection="1">
      <alignment horizontal="center" vertical="center"/>
    </xf>
    <xf numFmtId="38" fontId="15" fillId="0" borderId="58" xfId="1" applyFont="1" applyFill="1" applyBorder="1" applyAlignment="1" applyProtection="1">
      <alignment horizontal="center" vertical="center"/>
    </xf>
    <xf numFmtId="38" fontId="15" fillId="0" borderId="17" xfId="1" applyFont="1" applyFill="1" applyBorder="1" applyAlignment="1" applyProtection="1">
      <alignment horizontal="right" vertical="center"/>
    </xf>
    <xf numFmtId="180" fontId="15" fillId="0" borderId="39" xfId="0" applyNumberFormat="1" applyFont="1" applyFill="1" applyBorder="1" applyAlignment="1" applyProtection="1">
      <alignment horizontal="center" vertical="center"/>
    </xf>
    <xf numFmtId="180" fontId="15" fillId="0" borderId="9" xfId="0" applyNumberFormat="1" applyFont="1" applyFill="1" applyBorder="1" applyAlignment="1" applyProtection="1">
      <alignment horizontal="center" vertical="center"/>
    </xf>
    <xf numFmtId="38" fontId="3" fillId="0" borderId="10" xfId="1" applyFont="1" applyFill="1" applyBorder="1" applyAlignment="1" applyProtection="1">
      <alignment horizontal="center" vertical="center"/>
    </xf>
    <xf numFmtId="38" fontId="15" fillId="0" borderId="41" xfId="1" applyFont="1" applyFill="1" applyBorder="1" applyAlignment="1" applyProtection="1">
      <alignment horizontal="right" vertical="center"/>
    </xf>
    <xf numFmtId="38" fontId="15" fillId="0" borderId="51" xfId="1" applyFont="1" applyFill="1" applyBorder="1" applyAlignment="1" applyProtection="1">
      <alignment horizontal="right" vertical="center"/>
    </xf>
    <xf numFmtId="38" fontId="9" fillId="0" borderId="28" xfId="1" applyFont="1" applyFill="1" applyBorder="1" applyAlignment="1" applyProtection="1">
      <alignment horizontal="center" vertical="center"/>
    </xf>
    <xf numFmtId="38" fontId="15" fillId="0" borderId="32" xfId="1" applyFont="1" applyFill="1" applyBorder="1" applyAlignment="1" applyProtection="1">
      <alignment horizontal="right" vertical="center"/>
    </xf>
    <xf numFmtId="38" fontId="15" fillId="0" borderId="47" xfId="1" applyFont="1" applyFill="1" applyBorder="1" applyAlignment="1" applyProtection="1">
      <alignment horizontal="right" vertical="center"/>
    </xf>
    <xf numFmtId="38" fontId="87" fillId="0" borderId="0" xfId="1" applyFont="1" applyFill="1" applyBorder="1" applyAlignment="1" applyProtection="1">
      <alignment horizontal="left" vertical="center"/>
    </xf>
    <xf numFmtId="49" fontId="3" fillId="0" borderId="62" xfId="0" applyNumberFormat="1" applyFont="1" applyFill="1" applyBorder="1" applyAlignment="1" applyProtection="1">
      <alignment horizontal="left" vertical="center" shrinkToFit="1"/>
    </xf>
    <xf numFmtId="49" fontId="3" fillId="0" borderId="29" xfId="0" applyNumberFormat="1" applyFont="1" applyFill="1" applyBorder="1" applyAlignment="1" applyProtection="1">
      <alignment horizontal="left" vertical="center" shrinkToFit="1"/>
    </xf>
    <xf numFmtId="38" fontId="5" fillId="0" borderId="0" xfId="1" applyFont="1" applyFill="1" applyBorder="1" applyAlignment="1" applyProtection="1">
      <alignment horizontal="left" vertical="center"/>
    </xf>
    <xf numFmtId="38" fontId="87" fillId="0" borderId="64" xfId="1" applyFont="1" applyFill="1" applyBorder="1" applyAlignment="1" applyProtection="1">
      <alignment horizontal="left" vertical="center"/>
    </xf>
    <xf numFmtId="38" fontId="10" fillId="0" borderId="0" xfId="1" applyFont="1" applyFill="1" applyBorder="1" applyAlignment="1" applyProtection="1">
      <alignment horizontal="left" vertical="center"/>
    </xf>
    <xf numFmtId="180" fontId="21" fillId="0" borderId="31" xfId="1" applyNumberFormat="1" applyFont="1" applyFill="1" applyBorder="1" applyAlignment="1" applyProtection="1">
      <alignment horizontal="center" vertical="center" wrapText="1"/>
    </xf>
    <xf numFmtId="180" fontId="21" fillId="0" borderId="68" xfId="1" applyNumberFormat="1" applyFont="1" applyFill="1" applyBorder="1" applyAlignment="1" applyProtection="1">
      <alignment horizontal="center" vertical="center" wrapText="1"/>
    </xf>
    <xf numFmtId="180" fontId="21" fillId="0" borderId="14" xfId="1" applyNumberFormat="1" applyFont="1" applyFill="1" applyBorder="1" applyAlignment="1" applyProtection="1">
      <alignment horizontal="center" vertical="center" wrapText="1"/>
    </xf>
    <xf numFmtId="38" fontId="3" fillId="0" borderId="31" xfId="1" applyFont="1" applyFill="1" applyBorder="1" applyAlignment="1" applyProtection="1">
      <alignment horizontal="center" vertical="center"/>
    </xf>
    <xf numFmtId="38" fontId="3" fillId="0" borderId="63" xfId="1" applyFont="1" applyFill="1" applyBorder="1" applyAlignment="1" applyProtection="1">
      <alignment horizontal="center" vertical="center"/>
    </xf>
    <xf numFmtId="180" fontId="13" fillId="0" borderId="31" xfId="1" applyNumberFormat="1" applyFont="1" applyFill="1" applyBorder="1" applyAlignment="1" applyProtection="1">
      <alignment horizontal="center" vertical="center" wrapText="1"/>
    </xf>
    <xf numFmtId="180" fontId="13" fillId="0" borderId="14" xfId="1" applyNumberFormat="1" applyFont="1" applyFill="1" applyBorder="1" applyAlignment="1" applyProtection="1">
      <alignment horizontal="center" vertical="center" wrapText="1"/>
    </xf>
    <xf numFmtId="49" fontId="9" fillId="0" borderId="29" xfId="1" applyNumberFormat="1" applyFont="1" applyFill="1" applyBorder="1" applyAlignment="1" applyProtection="1">
      <alignment horizontal="center" vertical="center"/>
    </xf>
    <xf numFmtId="38" fontId="3" fillId="7" borderId="15" xfId="1" applyFont="1" applyFill="1" applyBorder="1" applyAlignment="1" applyProtection="1">
      <alignment horizontal="center" vertical="center"/>
    </xf>
    <xf numFmtId="38" fontId="3" fillId="7" borderId="31" xfId="1" applyFont="1" applyFill="1" applyBorder="1" applyAlignment="1" applyProtection="1">
      <alignment horizontal="center" vertical="center"/>
    </xf>
    <xf numFmtId="182" fontId="16" fillId="7" borderId="31" xfId="1" applyNumberFormat="1" applyFont="1" applyFill="1" applyBorder="1" applyAlignment="1" applyProtection="1">
      <alignment horizontal="center" vertical="center" shrinkToFit="1"/>
    </xf>
    <xf numFmtId="182" fontId="16" fillId="7" borderId="14" xfId="1" applyNumberFormat="1" applyFont="1" applyFill="1" applyBorder="1" applyAlignment="1" applyProtection="1">
      <alignment horizontal="center" vertical="center" shrinkToFit="1"/>
    </xf>
    <xf numFmtId="49" fontId="9" fillId="7" borderId="29" xfId="1" applyNumberFormat="1" applyFont="1" applyFill="1" applyBorder="1" applyAlignment="1" applyProtection="1">
      <alignment horizontal="center" vertical="center"/>
    </xf>
    <xf numFmtId="180" fontId="34" fillId="7" borderId="31" xfId="1" applyNumberFormat="1" applyFont="1" applyFill="1" applyBorder="1" applyAlignment="1" applyProtection="1">
      <alignment horizontal="center" vertical="center" shrinkToFit="1"/>
    </xf>
    <xf numFmtId="180" fontId="34" fillId="7" borderId="16" xfId="1" applyNumberFormat="1" applyFont="1" applyFill="1" applyBorder="1" applyAlignment="1" applyProtection="1">
      <alignment horizontal="center" vertical="center" shrinkToFit="1"/>
    </xf>
    <xf numFmtId="38" fontId="10" fillId="0" borderId="32" xfId="1" applyFont="1" applyFill="1" applyBorder="1" applyAlignment="1">
      <alignment horizontal="center" vertical="center" wrapText="1"/>
    </xf>
    <xf numFmtId="38" fontId="10" fillId="0" borderId="47" xfId="1" applyFont="1" applyFill="1" applyBorder="1" applyAlignment="1">
      <alignment horizontal="center" vertical="center" wrapText="1"/>
    </xf>
    <xf numFmtId="49" fontId="9" fillId="3" borderId="29" xfId="1" applyNumberFormat="1" applyFont="1" applyFill="1" applyBorder="1" applyAlignment="1" applyProtection="1">
      <alignment horizontal="left" vertical="center"/>
    </xf>
    <xf numFmtId="49" fontId="9" fillId="3" borderId="51" xfId="1" applyNumberFormat="1" applyFont="1" applyFill="1" applyBorder="1" applyAlignment="1" applyProtection="1">
      <alignment horizontal="left" vertical="center"/>
    </xf>
    <xf numFmtId="180" fontId="34" fillId="3" borderId="31" xfId="1" applyNumberFormat="1" applyFont="1" applyFill="1" applyBorder="1" applyAlignment="1" applyProtection="1">
      <alignment horizontal="center" vertical="center" shrinkToFit="1"/>
    </xf>
    <xf numFmtId="180" fontId="34" fillId="3" borderId="16" xfId="1" applyNumberFormat="1" applyFont="1" applyFill="1" applyBorder="1" applyAlignment="1" applyProtection="1">
      <alignment horizontal="center" vertical="center" shrinkToFit="1"/>
    </xf>
    <xf numFmtId="38" fontId="87" fillId="7" borderId="0" xfId="1" applyFont="1" applyFill="1" applyBorder="1" applyAlignment="1" applyProtection="1">
      <alignment horizontal="left" vertical="center"/>
    </xf>
    <xf numFmtId="38" fontId="10" fillId="0" borderId="64" xfId="1" applyFont="1" applyFill="1" applyBorder="1" applyAlignment="1" applyProtection="1">
      <alignment horizontal="left" vertical="center"/>
    </xf>
    <xf numFmtId="38" fontId="26" fillId="7" borderId="29" xfId="1" applyFont="1" applyFill="1" applyBorder="1" applyAlignment="1" applyProtection="1">
      <alignment horizontal="center" vertical="center"/>
    </xf>
    <xf numFmtId="38" fontId="4" fillId="0" borderId="32" xfId="1" applyFont="1" applyFill="1" applyBorder="1" applyAlignment="1">
      <alignment horizontal="left" vertical="center" wrapText="1"/>
    </xf>
    <xf numFmtId="38" fontId="4" fillId="0" borderId="48" xfId="1" applyFont="1" applyFill="1" applyBorder="1" applyAlignment="1">
      <alignment horizontal="left" vertical="center" wrapText="1"/>
    </xf>
    <xf numFmtId="38" fontId="0" fillId="0" borderId="32" xfId="1" applyFont="1" applyFill="1" applyBorder="1" applyAlignment="1">
      <alignment horizontal="center" vertical="center"/>
    </xf>
    <xf numFmtId="38" fontId="1" fillId="0" borderId="47" xfId="1" applyFont="1" applyFill="1" applyBorder="1" applyAlignment="1">
      <alignment horizontal="center" vertical="center"/>
    </xf>
    <xf numFmtId="38" fontId="0" fillId="0" borderId="32" xfId="1" applyFont="1" applyFill="1" applyBorder="1" applyAlignment="1">
      <alignment horizontal="center" vertical="center" shrinkToFit="1"/>
    </xf>
    <xf numFmtId="38" fontId="82" fillId="0" borderId="47" xfId="1" applyFont="1" applyFill="1" applyBorder="1" applyAlignment="1">
      <alignment horizontal="center" vertical="center" shrinkToFit="1"/>
    </xf>
    <xf numFmtId="38" fontId="23" fillId="0" borderId="45" xfId="1" applyFont="1" applyFill="1" applyBorder="1" applyAlignment="1" applyProtection="1">
      <alignment horizontal="left" vertical="center"/>
    </xf>
    <xf numFmtId="38" fontId="27" fillId="0" borderId="32" xfId="1" applyFont="1" applyFill="1" applyBorder="1" applyAlignment="1">
      <alignment horizontal="center" vertical="center" wrapText="1"/>
    </xf>
    <xf numFmtId="38" fontId="27" fillId="0" borderId="47" xfId="1" applyFont="1" applyFill="1" applyBorder="1" applyAlignment="1">
      <alignment horizontal="center" vertical="center" wrapText="1"/>
    </xf>
    <xf numFmtId="38" fontId="16" fillId="7" borderId="31" xfId="1" applyNumberFormat="1" applyFont="1" applyFill="1" applyBorder="1" applyAlignment="1" applyProtection="1">
      <alignment horizontal="center" vertical="center" shrinkToFit="1"/>
    </xf>
    <xf numFmtId="38" fontId="16" fillId="7" borderId="14" xfId="1" applyNumberFormat="1" applyFont="1" applyFill="1" applyBorder="1" applyAlignment="1" applyProtection="1">
      <alignment horizontal="center" vertical="center" shrinkToFit="1"/>
    </xf>
    <xf numFmtId="38" fontId="3" fillId="7" borderId="13" xfId="1" applyFont="1" applyFill="1" applyBorder="1" applyAlignment="1" applyProtection="1">
      <alignment horizontal="center" vertical="center"/>
    </xf>
    <xf numFmtId="38" fontId="87" fillId="7" borderId="43" xfId="1" applyFont="1" applyFill="1" applyBorder="1" applyAlignment="1" applyProtection="1">
      <alignment horizontal="left" vertical="center"/>
    </xf>
    <xf numFmtId="49" fontId="5" fillId="0" borderId="5" xfId="1" applyNumberFormat="1" applyFont="1" applyFill="1" applyBorder="1" applyAlignment="1" applyProtection="1">
      <alignment horizontal="center" vertical="center"/>
    </xf>
    <xf numFmtId="49" fontId="9" fillId="0" borderId="6" xfId="1" applyNumberFormat="1" applyFont="1" applyFill="1" applyBorder="1" applyAlignment="1" applyProtection="1">
      <alignment horizontal="center" vertical="center"/>
    </xf>
    <xf numFmtId="49" fontId="9" fillId="0" borderId="7" xfId="1" applyNumberFormat="1" applyFont="1" applyFill="1" applyBorder="1" applyAlignment="1" applyProtection="1">
      <alignment horizontal="center" vertical="center"/>
    </xf>
    <xf numFmtId="38" fontId="12" fillId="0" borderId="21" xfId="1" applyFont="1" applyFill="1" applyBorder="1" applyAlignment="1" applyProtection="1">
      <alignment horizontal="center" vertical="center" shrinkToFit="1"/>
    </xf>
    <xf numFmtId="38" fontId="12" fillId="0" borderId="12" xfId="1" applyFont="1" applyFill="1" applyBorder="1" applyAlignment="1" applyProtection="1">
      <alignment horizontal="center" vertical="center" shrinkToFit="1"/>
    </xf>
    <xf numFmtId="0" fontId="10" fillId="6" borderId="29" xfId="0" applyFont="1" applyFill="1" applyBorder="1" applyAlignment="1" applyProtection="1">
      <alignment horizontal="center" vertical="center" shrinkToFit="1"/>
    </xf>
    <xf numFmtId="38" fontId="84" fillId="5" borderId="29" xfId="1" applyFont="1" applyFill="1" applyBorder="1" applyAlignment="1">
      <alignment horizontal="left" vertical="center" shrinkToFit="1"/>
    </xf>
    <xf numFmtId="38" fontId="10" fillId="5" borderId="0" xfId="1" applyFont="1" applyFill="1" applyBorder="1" applyAlignment="1" applyProtection="1">
      <alignment horizontal="left" vertical="center"/>
    </xf>
    <xf numFmtId="38" fontId="3" fillId="5" borderId="13" xfId="1" applyFont="1" applyFill="1" applyBorder="1" applyAlignment="1" applyProtection="1">
      <alignment horizontal="center" vertical="center"/>
    </xf>
    <xf numFmtId="38" fontId="3" fillId="5" borderId="31" xfId="1" applyFont="1" applyFill="1" applyBorder="1" applyAlignment="1" applyProtection="1">
      <alignment horizontal="center" vertical="center"/>
    </xf>
    <xf numFmtId="180" fontId="34" fillId="6" borderId="31" xfId="1" applyNumberFormat="1" applyFont="1" applyFill="1" applyBorder="1" applyAlignment="1" applyProtection="1">
      <alignment horizontal="center" vertical="center" shrinkToFit="1"/>
    </xf>
    <xf numFmtId="180" fontId="34" fillId="6" borderId="14" xfId="1" applyNumberFormat="1" applyFont="1" applyFill="1" applyBorder="1" applyAlignment="1" applyProtection="1">
      <alignment horizontal="center" vertical="center" shrinkToFit="1"/>
    </xf>
    <xf numFmtId="0" fontId="83" fillId="0" borderId="0" xfId="0" applyFont="1" applyFill="1" applyBorder="1" applyAlignment="1" applyProtection="1">
      <alignment horizontal="center" vertical="center"/>
    </xf>
    <xf numFmtId="38" fontId="82" fillId="5" borderId="32" xfId="1" applyFont="1" applyFill="1" applyBorder="1" applyAlignment="1">
      <alignment horizontal="center" vertical="center" shrinkToFit="1"/>
    </xf>
    <xf numFmtId="38" fontId="82" fillId="5" borderId="47" xfId="1" applyFont="1" applyFill="1" applyBorder="1" applyAlignment="1">
      <alignment horizontal="center" vertical="center" shrinkToFit="1"/>
    </xf>
    <xf numFmtId="38" fontId="82" fillId="0" borderId="32" xfId="1" applyFont="1" applyFill="1" applyBorder="1" applyAlignment="1">
      <alignment horizontal="center" vertical="center"/>
    </xf>
    <xf numFmtId="38" fontId="82" fillId="0" borderId="47" xfId="1" applyFont="1" applyFill="1" applyBorder="1" applyAlignment="1">
      <alignment horizontal="center" vertical="center"/>
    </xf>
    <xf numFmtId="0" fontId="3" fillId="5" borderId="32" xfId="0" applyFont="1" applyFill="1" applyBorder="1" applyAlignment="1" applyProtection="1">
      <alignment horizontal="center" vertical="center"/>
    </xf>
    <xf numFmtId="0" fontId="3" fillId="5" borderId="47" xfId="0" applyFont="1" applyFill="1" applyBorder="1" applyAlignment="1" applyProtection="1">
      <alignment horizontal="center" vertical="center"/>
    </xf>
    <xf numFmtId="38" fontId="82" fillId="5" borderId="32" xfId="1" applyFont="1" applyFill="1" applyBorder="1" applyAlignment="1">
      <alignment horizontal="center" vertical="center"/>
    </xf>
    <xf numFmtId="38" fontId="82" fillId="5" borderId="47" xfId="1" applyFont="1" applyFill="1" applyBorder="1" applyAlignment="1">
      <alignment horizontal="center" vertical="center"/>
    </xf>
    <xf numFmtId="38" fontId="27" fillId="5" borderId="48" xfId="1" applyFont="1" applyFill="1" applyBorder="1" applyAlignment="1">
      <alignment horizontal="left" vertical="center" wrapText="1"/>
    </xf>
    <xf numFmtId="38" fontId="1" fillId="0" borderId="32" xfId="1" applyFont="1" applyFill="1" applyBorder="1" applyAlignment="1">
      <alignment horizontal="center" vertical="center"/>
    </xf>
    <xf numFmtId="180" fontId="34" fillId="5" borderId="31" xfId="1" applyNumberFormat="1" applyFont="1" applyFill="1" applyBorder="1" applyAlignment="1" applyProtection="1">
      <alignment horizontal="center" vertical="center" shrinkToFit="1"/>
    </xf>
    <xf numFmtId="180" fontId="34" fillId="5" borderId="16" xfId="1" applyNumberFormat="1" applyFont="1" applyFill="1" applyBorder="1" applyAlignment="1" applyProtection="1">
      <alignment horizontal="center" vertical="center" shrinkToFit="1"/>
    </xf>
    <xf numFmtId="180" fontId="34" fillId="5" borderId="14" xfId="1" applyNumberFormat="1" applyFont="1" applyFill="1" applyBorder="1" applyAlignment="1" applyProtection="1">
      <alignment horizontal="center" vertical="center" shrinkToFit="1"/>
    </xf>
    <xf numFmtId="38" fontId="3" fillId="5" borderId="15" xfId="1" applyFont="1" applyFill="1" applyBorder="1" applyAlignment="1" applyProtection="1">
      <alignment horizontal="center" vertical="center"/>
    </xf>
    <xf numFmtId="38" fontId="10" fillId="5" borderId="43" xfId="1" applyFont="1" applyFill="1" applyBorder="1" applyAlignment="1" applyProtection="1">
      <alignment horizontal="left" vertical="center"/>
    </xf>
    <xf numFmtId="38" fontId="10" fillId="5" borderId="20" xfId="1" applyFont="1" applyFill="1" applyBorder="1" applyAlignment="1" applyProtection="1">
      <alignment horizontal="left" vertical="center"/>
    </xf>
    <xf numFmtId="38" fontId="10" fillId="5" borderId="21" xfId="1" applyFont="1" applyFill="1" applyBorder="1" applyAlignment="1" applyProtection="1">
      <alignment horizontal="left" vertical="center"/>
    </xf>
    <xf numFmtId="49" fontId="9" fillId="5" borderId="29" xfId="1" applyNumberFormat="1" applyFont="1" applyFill="1" applyBorder="1" applyAlignment="1" applyProtection="1">
      <alignment horizontal="left" vertical="center"/>
    </xf>
    <xf numFmtId="49" fontId="9" fillId="5" borderId="51" xfId="1" applyNumberFormat="1" applyFont="1" applyFill="1" applyBorder="1" applyAlignment="1" applyProtection="1">
      <alignment horizontal="left" vertical="center"/>
    </xf>
    <xf numFmtId="0" fontId="3" fillId="0" borderId="243" xfId="0" applyFont="1" applyFill="1" applyBorder="1" applyAlignment="1" applyProtection="1">
      <alignment horizontal="center" vertical="center" textRotation="255"/>
    </xf>
    <xf numFmtId="0" fontId="3" fillId="0" borderId="244" xfId="0" applyFont="1" applyFill="1" applyBorder="1" applyAlignment="1" applyProtection="1">
      <alignment horizontal="center" vertical="center" textRotation="255"/>
    </xf>
    <xf numFmtId="0" fontId="3" fillId="0" borderId="245" xfId="0" applyFont="1" applyFill="1" applyBorder="1" applyAlignment="1" applyProtection="1">
      <alignment horizontal="center" vertical="center" textRotation="255"/>
    </xf>
    <xf numFmtId="38" fontId="3" fillId="0" borderId="225" xfId="1" applyFont="1" applyFill="1" applyBorder="1" applyAlignment="1" applyProtection="1">
      <alignment horizontal="center" vertical="center"/>
    </xf>
    <xf numFmtId="38" fontId="15" fillId="4" borderId="57" xfId="1" applyFont="1" applyFill="1" applyBorder="1" applyAlignment="1" applyProtection="1">
      <alignment horizontal="right" vertical="center"/>
    </xf>
    <xf numFmtId="38" fontId="15" fillId="4" borderId="30" xfId="1" applyFont="1" applyFill="1" applyBorder="1" applyAlignment="1" applyProtection="1">
      <alignment horizontal="right" vertical="center"/>
    </xf>
    <xf numFmtId="38" fontId="15" fillId="0" borderId="57" xfId="1" applyFont="1" applyFill="1" applyBorder="1" applyAlignment="1" applyProtection="1">
      <alignment horizontal="right" vertical="center"/>
    </xf>
    <xf numFmtId="38" fontId="15" fillId="0" borderId="30" xfId="1" applyFont="1" applyFill="1" applyBorder="1" applyAlignment="1" applyProtection="1">
      <alignment horizontal="right" vertical="center"/>
    </xf>
    <xf numFmtId="38" fontId="15" fillId="0" borderId="40" xfId="1" applyFont="1" applyFill="1" applyBorder="1" applyAlignment="1" applyProtection="1">
      <alignment horizontal="right" vertical="center"/>
    </xf>
    <xf numFmtId="0" fontId="3" fillId="3" borderId="57" xfId="0" applyFont="1" applyFill="1" applyBorder="1" applyAlignment="1" applyProtection="1">
      <alignment horizontal="center" vertical="center"/>
    </xf>
    <xf numFmtId="0" fontId="3" fillId="3" borderId="30" xfId="0" applyFont="1" applyFill="1" applyBorder="1" applyAlignment="1" applyProtection="1">
      <alignment horizontal="center" vertical="center"/>
    </xf>
    <xf numFmtId="0" fontId="25" fillId="0" borderId="225" xfId="0" applyFont="1" applyFill="1" applyBorder="1" applyAlignment="1" applyProtection="1">
      <alignment horizontal="left" vertical="center" shrinkToFit="1"/>
    </xf>
    <xf numFmtId="0" fontId="3" fillId="3" borderId="14" xfId="0" applyFont="1" applyFill="1" applyBorder="1" applyAlignment="1" applyProtection="1">
      <alignment horizontal="center" vertical="center"/>
    </xf>
    <xf numFmtId="0" fontId="35" fillId="0" borderId="0" xfId="0" applyFont="1" applyFill="1" applyAlignment="1" applyProtection="1">
      <alignment horizontal="center" vertical="center"/>
    </xf>
    <xf numFmtId="0" fontId="35" fillId="0" borderId="0" xfId="0" applyFont="1" applyFill="1" applyAlignment="1" applyProtection="1">
      <alignment horizontal="left" vertical="center"/>
    </xf>
    <xf numFmtId="180" fontId="19" fillId="0" borderId="239" xfId="0" applyNumberFormat="1" applyFont="1" applyFill="1" applyBorder="1" applyAlignment="1" applyProtection="1">
      <alignment horizontal="center" vertical="center" shrinkToFit="1"/>
    </xf>
    <xf numFmtId="180" fontId="19" fillId="0" borderId="21" xfId="0" applyNumberFormat="1" applyFont="1" applyFill="1" applyBorder="1" applyAlignment="1" applyProtection="1">
      <alignment horizontal="center" vertical="center" shrinkToFit="1"/>
    </xf>
    <xf numFmtId="180" fontId="19" fillId="0" borderId="135" xfId="0" applyNumberFormat="1" applyFont="1" applyFill="1" applyBorder="1" applyAlignment="1" applyProtection="1">
      <alignment horizontal="center" vertical="center" shrinkToFit="1"/>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44" xfId="0" applyFont="1" applyFill="1" applyBorder="1" applyAlignment="1" applyProtection="1">
      <alignment horizontal="left" vertical="center"/>
    </xf>
    <xf numFmtId="38" fontId="15" fillId="0" borderId="7" xfId="1" applyFont="1" applyFill="1" applyBorder="1" applyAlignment="1" applyProtection="1">
      <alignment horizontal="right" vertical="center"/>
    </xf>
    <xf numFmtId="38" fontId="15" fillId="3" borderId="31" xfId="1" applyFont="1" applyFill="1" applyBorder="1" applyAlignment="1" applyProtection="1">
      <alignment vertical="center"/>
    </xf>
    <xf numFmtId="0" fontId="25"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3" fontId="15" fillId="0" borderId="0" xfId="0" applyNumberFormat="1" applyFont="1" applyFill="1" applyBorder="1" applyAlignment="1" applyProtection="1">
      <alignment horizontal="right" vertical="center"/>
    </xf>
    <xf numFmtId="0" fontId="33" fillId="0" borderId="0" xfId="0" applyFont="1" applyFill="1" applyBorder="1" applyAlignment="1" applyProtection="1">
      <alignment vertical="center"/>
    </xf>
    <xf numFmtId="3" fontId="10" fillId="0" borderId="0" xfId="0" applyNumberFormat="1" applyFont="1" applyFill="1" applyBorder="1" applyAlignment="1" applyProtection="1">
      <alignment horizontal="center" vertical="center"/>
    </xf>
    <xf numFmtId="38" fontId="10" fillId="6" borderId="0" xfId="1" applyFont="1" applyFill="1" applyBorder="1" applyAlignment="1" applyProtection="1">
      <alignment horizontal="left" vertical="center"/>
    </xf>
    <xf numFmtId="38" fontId="5" fillId="6" borderId="20" xfId="1" applyFont="1" applyFill="1" applyBorder="1" applyAlignment="1" applyProtection="1">
      <alignment horizontal="center" vertical="center"/>
    </xf>
    <xf numFmtId="38" fontId="5" fillId="6" borderId="21" xfId="1" applyFont="1" applyFill="1" applyBorder="1" applyAlignment="1" applyProtection="1">
      <alignment horizontal="center" vertical="center"/>
    </xf>
    <xf numFmtId="38" fontId="5" fillId="6" borderId="40" xfId="1" applyFont="1" applyFill="1" applyBorder="1" applyAlignment="1" applyProtection="1">
      <alignment horizontal="center" vertical="center"/>
    </xf>
    <xf numFmtId="38" fontId="5" fillId="6" borderId="24" xfId="1" applyFont="1" applyFill="1" applyBorder="1" applyAlignment="1" applyProtection="1">
      <alignment horizontal="center" vertical="center"/>
    </xf>
    <xf numFmtId="38" fontId="5" fillId="6" borderId="12" xfId="1" applyFont="1" applyFill="1" applyBorder="1" applyAlignment="1" applyProtection="1">
      <alignment horizontal="center" vertical="center"/>
    </xf>
    <xf numFmtId="38" fontId="5" fillId="6" borderId="25" xfId="1" applyFont="1" applyFill="1" applyBorder="1" applyAlignment="1" applyProtection="1">
      <alignment horizontal="center" vertical="center"/>
    </xf>
    <xf numFmtId="3" fontId="15" fillId="3" borderId="31" xfId="0" applyNumberFormat="1" applyFont="1" applyFill="1" applyBorder="1" applyAlignment="1" applyProtection="1">
      <alignment vertical="center" shrinkToFit="1"/>
    </xf>
    <xf numFmtId="0" fontId="15" fillId="3" borderId="31" xfId="0" applyFont="1" applyFill="1" applyBorder="1" applyAlignment="1" applyProtection="1">
      <alignment vertical="center" shrinkToFit="1"/>
    </xf>
    <xf numFmtId="0" fontId="3" fillId="3" borderId="15" xfId="0" applyFont="1" applyFill="1" applyBorder="1" applyAlignment="1" applyProtection="1">
      <alignment horizontal="center" vertical="center"/>
    </xf>
    <xf numFmtId="38" fontId="5" fillId="3" borderId="20" xfId="1" applyFont="1" applyFill="1" applyBorder="1" applyAlignment="1" applyProtection="1">
      <alignment horizontal="center" vertical="center"/>
    </xf>
    <xf numFmtId="38" fontId="5" fillId="3" borderId="21" xfId="1" applyFont="1" applyFill="1" applyBorder="1" applyAlignment="1" applyProtection="1">
      <alignment horizontal="center" vertical="center"/>
    </xf>
    <xf numFmtId="38" fontId="5" fillId="3" borderId="40" xfId="1" applyFont="1" applyFill="1" applyBorder="1" applyAlignment="1" applyProtection="1">
      <alignment horizontal="center" vertical="center"/>
    </xf>
    <xf numFmtId="38" fontId="5" fillId="3" borderId="24" xfId="1" applyFont="1" applyFill="1" applyBorder="1" applyAlignment="1" applyProtection="1">
      <alignment horizontal="center" vertical="center"/>
    </xf>
    <xf numFmtId="38" fontId="5" fillId="3" borderId="12" xfId="1" applyFont="1" applyFill="1" applyBorder="1" applyAlignment="1" applyProtection="1">
      <alignment horizontal="center" vertical="center"/>
    </xf>
    <xf numFmtId="38" fontId="5" fillId="3" borderId="25" xfId="1" applyFont="1" applyFill="1" applyBorder="1" applyAlignment="1" applyProtection="1">
      <alignment horizontal="center" vertical="center"/>
    </xf>
    <xf numFmtId="38" fontId="3" fillId="0" borderId="71" xfId="1" applyFont="1" applyFill="1" applyBorder="1" applyAlignment="1" applyProtection="1">
      <alignment horizontal="center" vertical="center"/>
    </xf>
    <xf numFmtId="38" fontId="3" fillId="0" borderId="94" xfId="1" applyFont="1" applyFill="1" applyBorder="1" applyAlignment="1" applyProtection="1">
      <alignment horizontal="center" vertical="center"/>
    </xf>
    <xf numFmtId="0" fontId="3" fillId="6" borderId="29" xfId="0" applyFont="1" applyFill="1" applyBorder="1" applyAlignment="1" applyProtection="1">
      <alignment horizontal="center" vertical="center" shrinkToFit="1"/>
    </xf>
    <xf numFmtId="3" fontId="17" fillId="0" borderId="49" xfId="0" applyNumberFormat="1" applyFont="1" applyFill="1" applyBorder="1" applyAlignment="1" applyProtection="1">
      <alignment horizontal="right" vertical="center"/>
    </xf>
    <xf numFmtId="3" fontId="79" fillId="0" borderId="0" xfId="0" applyNumberFormat="1" applyFont="1" applyFill="1" applyBorder="1" applyAlignment="1" applyProtection="1">
      <alignment horizontal="center" vertical="center"/>
    </xf>
    <xf numFmtId="180" fontId="34" fillId="0" borderId="0" xfId="0" applyNumberFormat="1" applyFont="1" applyFill="1" applyBorder="1" applyAlignment="1" applyProtection="1">
      <alignment horizontal="center" vertical="center"/>
    </xf>
    <xf numFmtId="180" fontId="34" fillId="0" borderId="44" xfId="0" applyNumberFormat="1" applyFont="1" applyFill="1" applyBorder="1" applyAlignment="1" applyProtection="1">
      <alignment horizontal="center" vertical="center"/>
    </xf>
    <xf numFmtId="180" fontId="21" fillId="0" borderId="0" xfId="0" applyNumberFormat="1" applyFont="1" applyFill="1" applyBorder="1" applyAlignment="1" applyProtection="1">
      <alignment horizontal="center" vertical="center"/>
    </xf>
    <xf numFmtId="180" fontId="21" fillId="0" borderId="44" xfId="0" applyNumberFormat="1" applyFont="1" applyFill="1" applyBorder="1" applyAlignment="1" applyProtection="1">
      <alignment horizontal="center" vertical="center"/>
    </xf>
    <xf numFmtId="38" fontId="3" fillId="6" borderId="15" xfId="1" applyFont="1" applyFill="1" applyBorder="1" applyAlignment="1" applyProtection="1">
      <alignment horizontal="center" vertical="center"/>
    </xf>
    <xf numFmtId="38" fontId="3" fillId="6" borderId="31" xfId="1" applyFont="1" applyFill="1" applyBorder="1" applyAlignment="1" applyProtection="1">
      <alignment horizontal="center" vertical="center"/>
    </xf>
    <xf numFmtId="0" fontId="88" fillId="0" borderId="12" xfId="0" applyNumberFormat="1" applyFont="1" applyFill="1" applyBorder="1" applyAlignment="1" applyProtection="1">
      <alignment horizontal="center" vertical="center"/>
    </xf>
    <xf numFmtId="0" fontId="10" fillId="0" borderId="0" xfId="0" applyFont="1" applyFill="1" applyBorder="1" applyAlignment="1" applyProtection="1">
      <alignment horizontal="right" vertical="center"/>
    </xf>
    <xf numFmtId="38" fontId="3" fillId="0" borderId="38" xfId="1" applyFont="1" applyFill="1" applyBorder="1" applyAlignment="1" applyProtection="1">
      <alignment horizontal="center" vertical="center"/>
    </xf>
    <xf numFmtId="38" fontId="3" fillId="0" borderId="151" xfId="1" applyFont="1" applyFill="1" applyBorder="1" applyAlignment="1" applyProtection="1">
      <alignment horizontal="center" vertical="center"/>
    </xf>
    <xf numFmtId="38" fontId="15" fillId="0" borderId="25" xfId="1" applyFont="1" applyFill="1" applyBorder="1" applyAlignment="1" applyProtection="1">
      <alignment horizontal="right" vertical="center"/>
    </xf>
    <xf numFmtId="38" fontId="3" fillId="0" borderId="32" xfId="1" applyFont="1" applyFill="1" applyBorder="1" applyAlignment="1" applyProtection="1">
      <alignment horizontal="center" vertical="center" wrapText="1"/>
    </xf>
    <xf numFmtId="38" fontId="3" fillId="0" borderId="48" xfId="1" applyFont="1" applyFill="1" applyBorder="1" applyAlignment="1" applyProtection="1">
      <alignment horizontal="center" vertical="center" wrapText="1"/>
    </xf>
    <xf numFmtId="0" fontId="58" fillId="0" borderId="0" xfId="0" applyFont="1" applyFill="1" applyAlignment="1" applyProtection="1">
      <alignment horizontal="left" vertical="center"/>
    </xf>
    <xf numFmtId="0" fontId="43" fillId="0" borderId="1"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5" fillId="0" borderId="0" xfId="0" applyFont="1" applyFill="1" applyAlignment="1" applyProtection="1">
      <alignment horizontal="center" vertical="center"/>
    </xf>
    <xf numFmtId="38" fontId="23" fillId="0" borderId="0" xfId="1" applyFont="1" applyFill="1" applyBorder="1" applyAlignment="1" applyProtection="1">
      <alignment horizontal="center" vertical="center"/>
    </xf>
    <xf numFmtId="38" fontId="15" fillId="0" borderId="72" xfId="1" applyFont="1" applyFill="1" applyBorder="1" applyAlignment="1" applyProtection="1">
      <alignment horizontal="right" vertical="center"/>
    </xf>
    <xf numFmtId="38" fontId="15" fillId="0" borderId="95" xfId="1" applyFont="1" applyFill="1" applyBorder="1" applyAlignment="1" applyProtection="1">
      <alignment horizontal="right" vertical="center"/>
    </xf>
    <xf numFmtId="38" fontId="27" fillId="0" borderId="32" xfId="1" applyFont="1" applyFill="1" applyBorder="1" applyAlignment="1" applyProtection="1">
      <alignment horizontal="center" vertical="center" wrapText="1"/>
    </xf>
    <xf numFmtId="38" fontId="27" fillId="0" borderId="47" xfId="1" applyFont="1" applyFill="1" applyBorder="1" applyAlignment="1" applyProtection="1">
      <alignment horizontal="center" vertical="center" wrapText="1"/>
    </xf>
    <xf numFmtId="38" fontId="62" fillId="0" borderId="32" xfId="1" applyFont="1" applyFill="1" applyBorder="1" applyAlignment="1" applyProtection="1">
      <alignment horizontal="center" vertical="center"/>
    </xf>
    <xf numFmtId="38" fontId="62" fillId="0" borderId="47" xfId="1" applyFont="1" applyFill="1" applyBorder="1" applyAlignment="1" applyProtection="1">
      <alignment horizontal="center" vertical="center"/>
    </xf>
    <xf numFmtId="38" fontId="3" fillId="0" borderId="5" xfId="1" applyFont="1" applyFill="1" applyBorder="1" applyAlignment="1" applyProtection="1">
      <alignment horizontal="center" vertical="center"/>
    </xf>
    <xf numFmtId="38" fontId="3" fillId="0" borderId="210" xfId="1" applyFont="1" applyFill="1" applyBorder="1" applyAlignment="1" applyProtection="1">
      <alignment horizontal="center" vertical="center"/>
    </xf>
    <xf numFmtId="38" fontId="15" fillId="0" borderId="209" xfId="1" applyFont="1" applyFill="1" applyBorder="1" applyAlignment="1" applyProtection="1">
      <alignment vertical="center"/>
    </xf>
    <xf numFmtId="38" fontId="15" fillId="0" borderId="7" xfId="1" applyFont="1" applyFill="1" applyBorder="1" applyAlignment="1" applyProtection="1">
      <alignment vertical="center"/>
    </xf>
    <xf numFmtId="3" fontId="3" fillId="0" borderId="0" xfId="0" applyNumberFormat="1" applyFont="1" applyFill="1" applyAlignment="1" applyProtection="1">
      <alignment horizontal="center" vertical="center"/>
    </xf>
    <xf numFmtId="38" fontId="10" fillId="3" borderId="20" xfId="1" applyFont="1" applyFill="1" applyBorder="1" applyAlignment="1" applyProtection="1">
      <alignment horizontal="left" vertical="center"/>
    </xf>
    <xf numFmtId="38" fontId="10" fillId="3" borderId="21" xfId="1" applyFont="1" applyFill="1" applyBorder="1" applyAlignment="1" applyProtection="1">
      <alignment horizontal="left" vertical="center"/>
    </xf>
    <xf numFmtId="38" fontId="87" fillId="7" borderId="20" xfId="1" applyFont="1" applyFill="1" applyBorder="1" applyAlignment="1" applyProtection="1">
      <alignment horizontal="left" vertical="center"/>
    </xf>
    <xf numFmtId="38" fontId="87" fillId="7" borderId="21" xfId="1" applyFont="1" applyFill="1" applyBorder="1" applyAlignment="1" applyProtection="1">
      <alignment horizontal="left" vertical="center"/>
    </xf>
    <xf numFmtId="0" fontId="3" fillId="3" borderId="28" xfId="0" applyFont="1" applyFill="1" applyBorder="1" applyAlignment="1" applyProtection="1">
      <alignment horizontal="center" vertical="center"/>
    </xf>
    <xf numFmtId="3" fontId="12" fillId="0" borderId="162" xfId="0" applyNumberFormat="1" applyFont="1" applyFill="1" applyBorder="1" applyAlignment="1" applyProtection="1">
      <alignment horizontal="center" vertical="center"/>
    </xf>
    <xf numFmtId="3" fontId="12" fillId="0" borderId="49" xfId="0" applyNumberFormat="1" applyFont="1" applyFill="1" applyBorder="1" applyAlignment="1" applyProtection="1">
      <alignment horizontal="center" vertical="center"/>
    </xf>
    <xf numFmtId="38" fontId="20" fillId="0" borderId="6" xfId="1" applyFont="1" applyFill="1" applyBorder="1" applyAlignment="1" applyProtection="1">
      <alignment horizontal="center" vertical="center"/>
    </xf>
    <xf numFmtId="38" fontId="15" fillId="3" borderId="225" xfId="1" applyFont="1" applyFill="1" applyBorder="1" applyAlignment="1" applyProtection="1">
      <alignment vertical="center"/>
    </xf>
    <xf numFmtId="38" fontId="15" fillId="3" borderId="29" xfId="1" applyFont="1" applyFill="1" applyBorder="1" applyAlignment="1" applyProtection="1">
      <alignment vertical="center"/>
    </xf>
    <xf numFmtId="181" fontId="19" fillId="0" borderId="0" xfId="0" applyNumberFormat="1" applyFont="1" applyFill="1" applyAlignment="1" applyProtection="1">
      <alignment horizontal="center" vertical="center"/>
    </xf>
    <xf numFmtId="0" fontId="91" fillId="0" borderId="12" xfId="0" applyFont="1" applyFill="1" applyBorder="1" applyAlignment="1" applyProtection="1">
      <alignment horizontal="center" vertical="center"/>
    </xf>
    <xf numFmtId="0" fontId="91" fillId="0" borderId="25" xfId="0" applyFont="1" applyFill="1" applyBorder="1" applyAlignment="1" applyProtection="1">
      <alignment horizontal="center" vertical="center"/>
    </xf>
    <xf numFmtId="38" fontId="5" fillId="7" borderId="20" xfId="1" applyFont="1" applyFill="1" applyBorder="1" applyAlignment="1" applyProtection="1">
      <alignment horizontal="center" vertical="center"/>
    </xf>
    <xf numFmtId="38" fontId="5" fillId="7" borderId="21" xfId="1" applyFont="1" applyFill="1" applyBorder="1" applyAlignment="1" applyProtection="1">
      <alignment horizontal="center" vertical="center"/>
    </xf>
    <xf numFmtId="38" fontId="5" fillId="7" borderId="40" xfId="1" applyFont="1" applyFill="1" applyBorder="1" applyAlignment="1" applyProtection="1">
      <alignment horizontal="center" vertical="center"/>
    </xf>
    <xf numFmtId="38" fontId="5" fillId="7" borderId="24" xfId="1" applyFont="1" applyFill="1" applyBorder="1" applyAlignment="1" applyProtection="1">
      <alignment horizontal="center" vertical="center"/>
    </xf>
    <xf numFmtId="38" fontId="5" fillId="7" borderId="12" xfId="1" applyFont="1" applyFill="1" applyBorder="1" applyAlignment="1" applyProtection="1">
      <alignment horizontal="center" vertical="center"/>
    </xf>
    <xf numFmtId="38" fontId="5" fillId="7" borderId="25" xfId="1" applyFont="1" applyFill="1" applyBorder="1" applyAlignment="1" applyProtection="1">
      <alignment horizontal="center" vertical="center"/>
    </xf>
    <xf numFmtId="0" fontId="141" fillId="0" borderId="0" xfId="0" applyFont="1" applyFill="1" applyAlignment="1" applyProtection="1">
      <alignment horizontal="center" vertical="center"/>
    </xf>
    <xf numFmtId="3" fontId="3" fillId="0" borderId="158" xfId="0" applyNumberFormat="1" applyFont="1" applyFill="1" applyBorder="1" applyAlignment="1" applyProtection="1">
      <alignment horizontal="center" vertical="center"/>
    </xf>
    <xf numFmtId="38" fontId="3" fillId="0" borderId="243" xfId="1" applyFont="1" applyFill="1" applyBorder="1" applyAlignment="1" applyProtection="1">
      <alignment horizontal="center" vertical="center"/>
    </xf>
    <xf numFmtId="38" fontId="3" fillId="0" borderId="259" xfId="1" applyFont="1" applyFill="1" applyBorder="1" applyAlignment="1" applyProtection="1">
      <alignment horizontal="center" vertical="center"/>
    </xf>
    <xf numFmtId="38" fontId="15" fillId="0" borderId="257" xfId="1" applyFont="1" applyFill="1" applyBorder="1" applyAlignment="1" applyProtection="1">
      <alignment horizontal="right" vertical="center"/>
    </xf>
    <xf numFmtId="38" fontId="15" fillId="0" borderId="258" xfId="1" applyFont="1" applyFill="1" applyBorder="1" applyAlignment="1" applyProtection="1">
      <alignment horizontal="right" vertical="center"/>
    </xf>
    <xf numFmtId="49" fontId="5" fillId="0" borderId="6" xfId="1" applyNumberFormat="1" applyFont="1" applyFill="1" applyBorder="1" applyAlignment="1" applyProtection="1">
      <alignment horizontal="center" vertical="center"/>
    </xf>
    <xf numFmtId="49" fontId="5" fillId="0" borderId="7" xfId="1" applyNumberFormat="1" applyFont="1" applyFill="1" applyBorder="1" applyAlignment="1" applyProtection="1">
      <alignment horizontal="center" vertical="center"/>
    </xf>
    <xf numFmtId="180" fontId="34" fillId="0" borderId="39" xfId="0" applyNumberFormat="1" applyFont="1" applyFill="1" applyBorder="1" applyAlignment="1" applyProtection="1">
      <alignment horizontal="center" vertical="center"/>
    </xf>
    <xf numFmtId="180" fontId="34" fillId="0" borderId="9" xfId="0" applyNumberFormat="1" applyFont="1" applyFill="1" applyBorder="1" applyAlignment="1" applyProtection="1">
      <alignment horizontal="center" vertical="center"/>
    </xf>
    <xf numFmtId="38" fontId="15" fillId="0" borderId="41" xfId="1" applyFont="1" applyFill="1" applyBorder="1" applyAlignment="1" applyProtection="1">
      <alignment horizontal="center" vertical="center"/>
    </xf>
    <xf numFmtId="38" fontId="15" fillId="0" borderId="25" xfId="1" applyFont="1" applyFill="1" applyBorder="1" applyAlignment="1" applyProtection="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59</xdr:row>
      <xdr:rowOff>161925</xdr:rowOff>
    </xdr:from>
    <xdr:to>
      <xdr:col>6</xdr:col>
      <xdr:colOff>47625</xdr:colOff>
      <xdr:row>72</xdr:row>
      <xdr:rowOff>152400</xdr:rowOff>
    </xdr:to>
    <xdr:pic>
      <xdr:nvPicPr>
        <xdr:cNvPr id="2"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1582400"/>
          <a:ext cx="3400425" cy="234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75</xdr:row>
      <xdr:rowOff>28575</xdr:rowOff>
    </xdr:from>
    <xdr:to>
      <xdr:col>6</xdr:col>
      <xdr:colOff>266700</xdr:colOff>
      <xdr:row>88</xdr:row>
      <xdr:rowOff>85725</xdr:rowOff>
    </xdr:to>
    <xdr:pic>
      <xdr:nvPicPr>
        <xdr:cNvPr id="3" name="図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344650"/>
          <a:ext cx="36861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533399</xdr:colOff>
      <xdr:row>12</xdr:row>
      <xdr:rowOff>161925</xdr:rowOff>
    </xdr:from>
    <xdr:to>
      <xdr:col>11</xdr:col>
      <xdr:colOff>771524</xdr:colOff>
      <xdr:row>16</xdr:row>
      <xdr:rowOff>133350</xdr:rowOff>
    </xdr:to>
    <xdr:sp macro="" textlink="">
      <xdr:nvSpPr>
        <xdr:cNvPr id="4" name="角丸四角形 3"/>
        <xdr:cNvSpPr/>
      </xdr:nvSpPr>
      <xdr:spPr>
        <a:xfrm>
          <a:off x="5534024" y="2628900"/>
          <a:ext cx="1895475" cy="914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入力例</a:t>
          </a:r>
          <a:r>
            <a:rPr kumimoji="1" lang="en-US" altLang="ja-JP" sz="1000">
              <a:latin typeface="HG丸ｺﾞｼｯｸM-PRO" panose="020F0600000000000000" pitchFamily="50" charset="-128"/>
              <a:ea typeface="HG丸ｺﾞｼｯｸM-PRO" panose="020F0600000000000000" pitchFamily="50" charset="-128"/>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495302</xdr:colOff>
      <xdr:row>72</xdr:row>
      <xdr:rowOff>95251</xdr:rowOff>
    </xdr:from>
    <xdr:to>
      <xdr:col>9</xdr:col>
      <xdr:colOff>504826</xdr:colOff>
      <xdr:row>76</xdr:row>
      <xdr:rowOff>0</xdr:rowOff>
    </xdr:to>
    <xdr:sp macro="" textlink="">
      <xdr:nvSpPr>
        <xdr:cNvPr id="5" name="星 5 4"/>
        <xdr:cNvSpPr/>
      </xdr:nvSpPr>
      <xdr:spPr>
        <a:xfrm>
          <a:off x="4829177" y="13868401"/>
          <a:ext cx="676274" cy="628649"/>
        </a:xfrm>
        <a:prstGeom prst="star5">
          <a:avLst>
            <a:gd name="adj" fmla="val 20188"/>
            <a:gd name="hf" fmla="val 105146"/>
            <a:gd name="vf" fmla="val 11055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3</a:t>
          </a:r>
          <a:endParaRPr kumimoji="1" lang="ja-JP" altLang="en-US" sz="1400" b="1">
            <a:solidFill>
              <a:schemeClr val="tx1"/>
            </a:solidFill>
          </a:endParaRPr>
        </a:p>
      </xdr:txBody>
    </xdr:sp>
    <xdr:clientData/>
  </xdr:twoCellAnchor>
  <xdr:twoCellAnchor>
    <xdr:from>
      <xdr:col>8</xdr:col>
      <xdr:colOff>561975</xdr:colOff>
      <xdr:row>63</xdr:row>
      <xdr:rowOff>161926</xdr:rowOff>
    </xdr:from>
    <xdr:to>
      <xdr:col>9</xdr:col>
      <xdr:colOff>514350</xdr:colOff>
      <xdr:row>67</xdr:row>
      <xdr:rowOff>9526</xdr:rowOff>
    </xdr:to>
    <xdr:sp macro="" textlink="">
      <xdr:nvSpPr>
        <xdr:cNvPr id="6" name="星 5 5"/>
        <xdr:cNvSpPr/>
      </xdr:nvSpPr>
      <xdr:spPr>
        <a:xfrm>
          <a:off x="4895850" y="12306301"/>
          <a:ext cx="619125" cy="571500"/>
        </a:xfrm>
        <a:prstGeom prst="star5">
          <a:avLst>
            <a:gd name="adj" fmla="val 20188"/>
            <a:gd name="hf" fmla="val 105146"/>
            <a:gd name="vf" fmla="val 11055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2</a:t>
          </a:r>
          <a:endParaRPr kumimoji="1" lang="ja-JP" altLang="en-US" sz="1400" b="1">
            <a:solidFill>
              <a:schemeClr val="tx1"/>
            </a:solidFill>
          </a:endParaRPr>
        </a:p>
      </xdr:txBody>
    </xdr:sp>
    <xdr:clientData/>
  </xdr:twoCellAnchor>
  <xdr:twoCellAnchor>
    <xdr:from>
      <xdr:col>8</xdr:col>
      <xdr:colOff>523875</xdr:colOff>
      <xdr:row>61</xdr:row>
      <xdr:rowOff>171450</xdr:rowOff>
    </xdr:from>
    <xdr:to>
      <xdr:col>9</xdr:col>
      <xdr:colOff>66675</xdr:colOff>
      <xdr:row>63</xdr:row>
      <xdr:rowOff>85725</xdr:rowOff>
    </xdr:to>
    <xdr:cxnSp macro="">
      <xdr:nvCxnSpPr>
        <xdr:cNvPr id="7" name="直線矢印コネクタ 6"/>
        <xdr:cNvCxnSpPr/>
      </xdr:nvCxnSpPr>
      <xdr:spPr>
        <a:xfrm flipH="1">
          <a:off x="4857750" y="11953875"/>
          <a:ext cx="209550" cy="276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390525</xdr:colOff>
      <xdr:row>74</xdr:row>
      <xdr:rowOff>28575</xdr:rowOff>
    </xdr:from>
    <xdr:to>
      <xdr:col>8</xdr:col>
      <xdr:colOff>657225</xdr:colOff>
      <xdr:row>75</xdr:row>
      <xdr:rowOff>38100</xdr:rowOff>
    </xdr:to>
    <xdr:cxnSp macro="">
      <xdr:nvCxnSpPr>
        <xdr:cNvPr id="8" name="直線矢印コネクタ 7"/>
        <xdr:cNvCxnSpPr/>
      </xdr:nvCxnSpPr>
      <xdr:spPr>
        <a:xfrm flipH="1" flipV="1">
          <a:off x="4724400" y="14163675"/>
          <a:ext cx="26670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676275</xdr:colOff>
      <xdr:row>13</xdr:row>
      <xdr:rowOff>228600</xdr:rowOff>
    </xdr:from>
    <xdr:to>
      <xdr:col>11</xdr:col>
      <xdr:colOff>638175</xdr:colOff>
      <xdr:row>15</xdr:row>
      <xdr:rowOff>228600</xdr:rowOff>
    </xdr:to>
    <xdr:pic>
      <xdr:nvPicPr>
        <xdr:cNvPr id="9" name="図 5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6900" y="2867025"/>
          <a:ext cx="16192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781050</xdr:colOff>
      <xdr:row>34</xdr:row>
      <xdr:rowOff>123825</xdr:rowOff>
    </xdr:from>
    <xdr:to>
      <xdr:col>10</xdr:col>
      <xdr:colOff>371475</xdr:colOff>
      <xdr:row>36</xdr:row>
      <xdr:rowOff>28575</xdr:rowOff>
    </xdr:to>
    <xdr:pic>
      <xdr:nvPicPr>
        <xdr:cNvPr id="10" name="図 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81675" y="6934200"/>
          <a:ext cx="7620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34</xdr:row>
      <xdr:rowOff>9525</xdr:rowOff>
    </xdr:from>
    <xdr:to>
      <xdr:col>7</xdr:col>
      <xdr:colOff>419100</xdr:colOff>
      <xdr:row>35</xdr:row>
      <xdr:rowOff>57150</xdr:rowOff>
    </xdr:to>
    <xdr:sp macro="" textlink="">
      <xdr:nvSpPr>
        <xdr:cNvPr id="11" name="右矢印 10"/>
        <xdr:cNvSpPr/>
      </xdr:nvSpPr>
      <xdr:spPr>
        <a:xfrm>
          <a:off x="3924300" y="6819900"/>
          <a:ext cx="323850" cy="219075"/>
        </a:xfrm>
        <a:prstGeom prst="rightArrow">
          <a:avLst/>
        </a:prstGeom>
        <a:solidFill>
          <a:schemeClr val="accent2">
            <a:lumMod val="60000"/>
            <a:lumOff val="40000"/>
          </a:schemeClr>
        </a:solidFill>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176893</xdr:colOff>
      <xdr:row>65</xdr:row>
      <xdr:rowOff>95250</xdr:rowOff>
    </xdr:from>
    <xdr:to>
      <xdr:col>3</xdr:col>
      <xdr:colOff>421822</xdr:colOff>
      <xdr:row>67</xdr:row>
      <xdr:rowOff>170089</xdr:rowOff>
    </xdr:to>
    <xdr:sp macro="" textlink="">
      <xdr:nvSpPr>
        <xdr:cNvPr id="12" name="正方形/長方形 11"/>
        <xdr:cNvSpPr/>
      </xdr:nvSpPr>
      <xdr:spPr>
        <a:xfrm>
          <a:off x="1034143" y="12601575"/>
          <a:ext cx="854529" cy="43678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74840</xdr:colOff>
      <xdr:row>62</xdr:row>
      <xdr:rowOff>68036</xdr:rowOff>
    </xdr:from>
    <xdr:to>
      <xdr:col>4</xdr:col>
      <xdr:colOff>605518</xdr:colOff>
      <xdr:row>65</xdr:row>
      <xdr:rowOff>6804</xdr:rowOff>
    </xdr:to>
    <xdr:sp macro="" textlink="">
      <xdr:nvSpPr>
        <xdr:cNvPr id="13" name="線吹き出し 2 (枠付き) 12"/>
        <xdr:cNvSpPr/>
      </xdr:nvSpPr>
      <xdr:spPr>
        <a:xfrm>
          <a:off x="1541690" y="12031436"/>
          <a:ext cx="1083128" cy="481693"/>
        </a:xfrm>
        <a:prstGeom prst="borderCallout2">
          <a:avLst>
            <a:gd name="adj1" fmla="val 18750"/>
            <a:gd name="adj2" fmla="val -8333"/>
            <a:gd name="adj3" fmla="val 18750"/>
            <a:gd name="adj4" fmla="val -16667"/>
            <a:gd name="adj5" fmla="val 113889"/>
            <a:gd name="adj6" fmla="val -28428"/>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支払金額</a:t>
          </a:r>
        </a:p>
      </xdr:txBody>
    </xdr:sp>
    <xdr:clientData/>
  </xdr:twoCellAnchor>
  <xdr:twoCellAnchor>
    <xdr:from>
      <xdr:col>2</xdr:col>
      <xdr:colOff>47625</xdr:colOff>
      <xdr:row>77</xdr:row>
      <xdr:rowOff>88446</xdr:rowOff>
    </xdr:from>
    <xdr:to>
      <xdr:col>4</xdr:col>
      <xdr:colOff>435428</xdr:colOff>
      <xdr:row>80</xdr:row>
      <xdr:rowOff>68035</xdr:rowOff>
    </xdr:to>
    <xdr:sp macro="" textlink="">
      <xdr:nvSpPr>
        <xdr:cNvPr id="14" name="正方形/長方形 13"/>
        <xdr:cNvSpPr/>
      </xdr:nvSpPr>
      <xdr:spPr>
        <a:xfrm>
          <a:off x="904875" y="14766471"/>
          <a:ext cx="1549853" cy="52251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244928</xdr:colOff>
      <xdr:row>73</xdr:row>
      <xdr:rowOff>157843</xdr:rowOff>
    </xdr:from>
    <xdr:to>
      <xdr:col>5</xdr:col>
      <xdr:colOff>700768</xdr:colOff>
      <xdr:row>76</xdr:row>
      <xdr:rowOff>96611</xdr:rowOff>
    </xdr:to>
    <xdr:sp macro="" textlink="">
      <xdr:nvSpPr>
        <xdr:cNvPr id="15" name="線吹き出し 2 (枠付き) 14"/>
        <xdr:cNvSpPr/>
      </xdr:nvSpPr>
      <xdr:spPr>
        <a:xfrm>
          <a:off x="2264228" y="14111968"/>
          <a:ext cx="1084490" cy="481693"/>
        </a:xfrm>
        <a:prstGeom prst="borderCallout2">
          <a:avLst>
            <a:gd name="adj1" fmla="val 18750"/>
            <a:gd name="adj2" fmla="val -8333"/>
            <a:gd name="adj3" fmla="val 18750"/>
            <a:gd name="adj4" fmla="val -16667"/>
            <a:gd name="adj5" fmla="val 137500"/>
            <a:gd name="adj6" fmla="val -39749"/>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支払金額</a:t>
          </a:r>
        </a:p>
      </xdr:txBody>
    </xdr:sp>
    <xdr:clientData/>
  </xdr:twoCellAnchor>
  <xdr:twoCellAnchor editAs="oneCell">
    <xdr:from>
      <xdr:col>6</xdr:col>
      <xdr:colOff>190500</xdr:colOff>
      <xdr:row>59</xdr:row>
      <xdr:rowOff>38100</xdr:rowOff>
    </xdr:from>
    <xdr:to>
      <xdr:col>11</xdr:col>
      <xdr:colOff>898071</xdr:colOff>
      <xdr:row>87</xdr:row>
      <xdr:rowOff>76200</xdr:rowOff>
    </xdr:to>
    <xdr:pic>
      <xdr:nvPicPr>
        <xdr:cNvPr id="16" name="図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05225" y="11458575"/>
          <a:ext cx="3850821" cy="510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115138</xdr:colOff>
      <xdr:row>70</xdr:row>
      <xdr:rowOff>176785</xdr:rowOff>
    </xdr:from>
    <xdr:to>
      <xdr:col>9</xdr:col>
      <xdr:colOff>1068924</xdr:colOff>
      <xdr:row>71</xdr:row>
      <xdr:rowOff>159097</xdr:rowOff>
    </xdr:to>
    <xdr:sp macro="" textlink="">
      <xdr:nvSpPr>
        <xdr:cNvPr id="17" name="正方形/長方形 16"/>
        <xdr:cNvSpPr/>
      </xdr:nvSpPr>
      <xdr:spPr>
        <a:xfrm>
          <a:off x="3944188" y="13587985"/>
          <a:ext cx="2125361" cy="16328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115139</xdr:colOff>
      <xdr:row>71</xdr:row>
      <xdr:rowOff>160146</xdr:rowOff>
    </xdr:from>
    <xdr:to>
      <xdr:col>9</xdr:col>
      <xdr:colOff>1068925</xdr:colOff>
      <xdr:row>72</xdr:row>
      <xdr:rowOff>142457</xdr:rowOff>
    </xdr:to>
    <xdr:sp macro="" textlink="">
      <xdr:nvSpPr>
        <xdr:cNvPr id="18" name="正方形/長方形 17"/>
        <xdr:cNvSpPr/>
      </xdr:nvSpPr>
      <xdr:spPr>
        <a:xfrm>
          <a:off x="3944189" y="13752321"/>
          <a:ext cx="2125361" cy="16328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129269</xdr:colOff>
      <xdr:row>86</xdr:row>
      <xdr:rowOff>2</xdr:rowOff>
    </xdr:from>
    <xdr:to>
      <xdr:col>9</xdr:col>
      <xdr:colOff>1040947</xdr:colOff>
      <xdr:row>87</xdr:row>
      <xdr:rowOff>13606</xdr:rowOff>
    </xdr:to>
    <xdr:sp macro="" textlink="">
      <xdr:nvSpPr>
        <xdr:cNvPr id="19" name="正方形/長方形 18"/>
        <xdr:cNvSpPr/>
      </xdr:nvSpPr>
      <xdr:spPr>
        <a:xfrm>
          <a:off x="3958319" y="16306802"/>
          <a:ext cx="2083253" cy="19457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40823</xdr:colOff>
      <xdr:row>67</xdr:row>
      <xdr:rowOff>36634</xdr:rowOff>
    </xdr:from>
    <xdr:to>
      <xdr:col>9</xdr:col>
      <xdr:colOff>1084823</xdr:colOff>
      <xdr:row>69</xdr:row>
      <xdr:rowOff>159099</xdr:rowOff>
    </xdr:to>
    <xdr:sp macro="" textlink="">
      <xdr:nvSpPr>
        <xdr:cNvPr id="20" name="線吹き出し 2 (枠付き) 19"/>
        <xdr:cNvSpPr/>
      </xdr:nvSpPr>
      <xdr:spPr>
        <a:xfrm>
          <a:off x="5041448" y="12904909"/>
          <a:ext cx="1044000" cy="484415"/>
        </a:xfrm>
        <a:prstGeom prst="borderCallout2">
          <a:avLst>
            <a:gd name="adj1" fmla="val 18750"/>
            <a:gd name="adj2" fmla="val -8333"/>
            <a:gd name="adj3" fmla="val 18750"/>
            <a:gd name="adj4" fmla="val -16667"/>
            <a:gd name="adj5" fmla="val 140277"/>
            <a:gd name="adj6" fmla="val -28428"/>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給与</a:t>
          </a:r>
        </a:p>
      </xdr:txBody>
    </xdr:sp>
    <xdr:clientData/>
  </xdr:twoCellAnchor>
  <xdr:twoCellAnchor>
    <xdr:from>
      <xdr:col>9</xdr:col>
      <xdr:colOff>129269</xdr:colOff>
      <xdr:row>73</xdr:row>
      <xdr:rowOff>174801</xdr:rowOff>
    </xdr:from>
    <xdr:to>
      <xdr:col>10</xdr:col>
      <xdr:colOff>147054</xdr:colOff>
      <xdr:row>76</xdr:row>
      <xdr:rowOff>113569</xdr:rowOff>
    </xdr:to>
    <xdr:sp macro="" textlink="">
      <xdr:nvSpPr>
        <xdr:cNvPr id="21" name="線吹き出し 2 (枠付き) 20"/>
        <xdr:cNvSpPr/>
      </xdr:nvSpPr>
      <xdr:spPr>
        <a:xfrm>
          <a:off x="5129894" y="14128926"/>
          <a:ext cx="1189360" cy="481693"/>
        </a:xfrm>
        <a:prstGeom prst="borderCallout2">
          <a:avLst>
            <a:gd name="adj1" fmla="val 20139"/>
            <a:gd name="adj2" fmla="val -888"/>
            <a:gd name="adj3" fmla="val 18750"/>
            <a:gd name="adj4" fmla="val -16667"/>
            <a:gd name="adj5" fmla="val -38890"/>
            <a:gd name="adj6" fmla="val -35919"/>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公的年金等</a:t>
          </a:r>
        </a:p>
      </xdr:txBody>
    </xdr:sp>
    <xdr:clientData/>
  </xdr:twoCellAnchor>
  <xdr:twoCellAnchor>
    <xdr:from>
      <xdr:col>9</xdr:col>
      <xdr:colOff>55791</xdr:colOff>
      <xdr:row>81</xdr:row>
      <xdr:rowOff>53070</xdr:rowOff>
    </xdr:from>
    <xdr:to>
      <xdr:col>9</xdr:col>
      <xdr:colOff>1137559</xdr:colOff>
      <xdr:row>83</xdr:row>
      <xdr:rowOff>172813</xdr:rowOff>
    </xdr:to>
    <xdr:sp macro="" textlink="">
      <xdr:nvSpPr>
        <xdr:cNvPr id="22" name="線吹き出し 2 (枠付き) 21"/>
        <xdr:cNvSpPr/>
      </xdr:nvSpPr>
      <xdr:spPr>
        <a:xfrm>
          <a:off x="5056416" y="15454995"/>
          <a:ext cx="1081768" cy="481693"/>
        </a:xfrm>
        <a:prstGeom prst="borderCallout2">
          <a:avLst>
            <a:gd name="adj1" fmla="val 18750"/>
            <a:gd name="adj2" fmla="val -8333"/>
            <a:gd name="adj3" fmla="val 18750"/>
            <a:gd name="adj4" fmla="val -16667"/>
            <a:gd name="adj5" fmla="val 183333"/>
            <a:gd name="adj6" fmla="val -31572"/>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合計</a:t>
          </a:r>
        </a:p>
      </xdr:txBody>
    </xdr:sp>
    <xdr:clientData/>
  </xdr:twoCellAnchor>
  <xdr:twoCellAnchor editAs="oneCell">
    <xdr:from>
      <xdr:col>0</xdr:col>
      <xdr:colOff>81641</xdr:colOff>
      <xdr:row>89</xdr:row>
      <xdr:rowOff>43542</xdr:rowOff>
    </xdr:from>
    <xdr:to>
      <xdr:col>11</xdr:col>
      <xdr:colOff>836840</xdr:colOff>
      <xdr:row>111</xdr:row>
      <xdr:rowOff>16329</xdr:rowOff>
    </xdr:to>
    <xdr:sp macro="" textlink="">
      <xdr:nvSpPr>
        <xdr:cNvPr id="23" name="テキスト ボックス 22"/>
        <xdr:cNvSpPr txBox="1"/>
      </xdr:nvSpPr>
      <xdr:spPr>
        <a:xfrm>
          <a:off x="81641" y="16893267"/>
          <a:ext cx="7413174" cy="39828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③給与収入欄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左上図「給与所得の源泉徴収票」の支払金額、または右上図「確定申告書の写し</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（第一表）</a:t>
          </a:r>
          <a:r>
            <a:rPr kumimoji="1" lang="ja-JP" altLang="en-US" sz="1200">
              <a:latin typeface="HG丸ｺﾞｼｯｸM-PRO" panose="020F0600000000000000" pitchFamily="50" charset="-128"/>
              <a:ea typeface="HG丸ｺﾞｼｯｸM-PRO" panose="020F0600000000000000" pitchFamily="50" charset="-128"/>
            </a:rPr>
            <a:t>」</a:t>
          </a:r>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収入金額等欄の</a:t>
          </a:r>
          <a:r>
            <a:rPr kumimoji="1" lang="ja-JP" altLang="en-US" sz="1200">
              <a:latin typeface="HG丸ｺﾞｼｯｸM-PRO" panose="020F0600000000000000" pitchFamily="50" charset="-128"/>
              <a:ea typeface="HG丸ｺﾞｼｯｸM-PRO" panose="020F0600000000000000" pitchFamily="50" charset="-128"/>
            </a:rPr>
            <a:t>給与を入力。どちらの資料もない場合は、令和</a:t>
          </a:r>
          <a:r>
            <a:rPr kumimoji="1" lang="en-US" altLang="ja-JP" sz="1200">
              <a:latin typeface="HG丸ｺﾞｼｯｸM-PRO" panose="020F0600000000000000" pitchFamily="50" charset="-128"/>
              <a:ea typeface="HG丸ｺﾞｼｯｸM-PRO" panose="020F0600000000000000" pitchFamily="50" charset="-128"/>
            </a:rPr>
            <a:t>6</a:t>
          </a:r>
          <a:r>
            <a:rPr kumimoji="1" lang="ja-JP" altLang="en-US" sz="1200">
              <a:latin typeface="HG丸ｺﾞｼｯｸM-PRO" panose="020F0600000000000000" pitchFamily="50" charset="-128"/>
              <a:ea typeface="HG丸ｺﾞｼｯｸM-PRO" panose="020F0600000000000000" pitchFamily="50" charset="-128"/>
            </a:rPr>
            <a:t>年１月から令和</a:t>
          </a:r>
          <a:r>
            <a:rPr kumimoji="1" lang="en-US" altLang="ja-JP" sz="1200">
              <a:latin typeface="HG丸ｺﾞｼｯｸM-PRO" panose="020F0600000000000000" pitchFamily="50" charset="-128"/>
              <a:ea typeface="HG丸ｺﾞｼｯｸM-PRO" panose="020F0600000000000000" pitchFamily="50" charset="-128"/>
            </a:rPr>
            <a:t>6</a:t>
          </a:r>
          <a:r>
            <a:rPr kumimoji="1" lang="ja-JP" altLang="en-US" sz="1200">
              <a:latin typeface="HG丸ｺﾞｼｯｸM-PRO" panose="020F0600000000000000" pitchFamily="50" charset="-128"/>
              <a:ea typeface="HG丸ｺﾞｼｯｸM-PRO" panose="020F0600000000000000" pitchFamily="50" charset="-128"/>
            </a:rPr>
            <a:t>年１２月の給与明細・賞与明細等の総支給額の合計年額を入力。その場合、非課税の項目は含めません。</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④年金収入欄</a:t>
          </a:r>
          <a:endParaRPr kumimoji="1" lang="en-US" altLang="ja-JP" sz="1200">
            <a:latin typeface="HG丸ｺﾞｼｯｸM-PRO" panose="020F0600000000000000" pitchFamily="50" charset="-128"/>
            <a:ea typeface="HG丸ｺﾞｼｯｸM-PRO" panose="020F0600000000000000" pitchFamily="50" charset="-128"/>
          </a:endParaRPr>
        </a:p>
        <a:p>
          <a:pPr>
            <a:lnSpc>
              <a:spcPts val="1300"/>
            </a:lnSpc>
          </a:pPr>
          <a:r>
            <a:rPr kumimoji="1" lang="ja-JP" altLang="en-US" sz="1200">
              <a:latin typeface="HG丸ｺﾞｼｯｸM-PRO" panose="020F0600000000000000" pitchFamily="50" charset="-128"/>
              <a:ea typeface="HG丸ｺﾞｼｯｸM-PRO" panose="020F0600000000000000" pitchFamily="50" charset="-128"/>
            </a:rPr>
            <a:t>　左上図「公的年金等の源泉徴収票」の支払金額、または右上図「確定申告書の写し</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（第一表）</a:t>
          </a:r>
          <a:r>
            <a:rPr kumimoji="1" lang="ja-JP" altLang="en-US" sz="1200">
              <a:latin typeface="HG丸ｺﾞｼｯｸM-PRO" panose="020F0600000000000000" pitchFamily="50" charset="-128"/>
              <a:ea typeface="HG丸ｺﾞｼｯｸM-PRO" panose="020F0600000000000000" pitchFamily="50" charset="-128"/>
            </a:rPr>
            <a:t>」</a:t>
          </a:r>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収入金額等欄</a:t>
          </a:r>
          <a:r>
            <a:rPr kumimoji="1" lang="ja-JP" altLang="en-US" sz="1200">
              <a:latin typeface="HG丸ｺﾞｼｯｸM-PRO" panose="020F0600000000000000" pitchFamily="50" charset="-128"/>
              <a:ea typeface="HG丸ｺﾞｼｯｸM-PRO" panose="020F0600000000000000" pitchFamily="50" charset="-128"/>
            </a:rPr>
            <a:t>の公的年金等を入力。</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pPr>
            <a:lnSpc>
              <a:spcPts val="1300"/>
            </a:lnSpc>
          </a:pPr>
          <a:r>
            <a:rPr kumimoji="1" lang="ja-JP" altLang="en-US" sz="1200">
              <a:latin typeface="HG丸ｺﾞｼｯｸM-PRO" panose="020F0600000000000000" pitchFamily="50" charset="-128"/>
              <a:ea typeface="HG丸ｺﾞｼｯｸM-PRO" panose="020F0600000000000000" pitchFamily="50" charset="-128"/>
            </a:rPr>
            <a:t>⑤その他の所得欄</a:t>
          </a:r>
          <a:endParaRPr kumimoji="1" lang="en-US" altLang="ja-JP" sz="12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右上図「確定申告書の写し」所得金額等欄の合計から</a:t>
          </a:r>
          <a:r>
            <a:rPr kumimoji="1" lang="ja-JP"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給与所得・</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公的年金等の雑所得</a:t>
          </a:r>
          <a:r>
            <a:rPr kumimoji="1" lang="ja-JP"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を除いた</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金</a:t>
          </a:r>
          <a:r>
            <a:rPr kumimoji="1" lang="ja-JP"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額を入力。</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確定申告書（第三表）の提出もされた場合は、お手数ですがお問い合わせください。</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a:latin typeface="HG丸ｺﾞｼｯｸM-PRO" panose="020F0600000000000000" pitchFamily="50" charset="-128"/>
            <a:ea typeface="HG丸ｺﾞｼｯｸM-PRO" panose="020F0600000000000000" pitchFamily="50" charset="-128"/>
          </a:endParaRPr>
        </a:p>
        <a:p>
          <a:pPr>
            <a:lnSpc>
              <a:spcPts val="1300"/>
            </a:lnSpc>
          </a:pP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国保料算定の対象となる収入</a:t>
          </a:r>
          <a:r>
            <a:rPr kumimoji="1" lang="en-US" altLang="ja-JP" sz="1200">
              <a:latin typeface="HG丸ｺﾞｼｯｸM-PRO" panose="020F0600000000000000" pitchFamily="50" charset="-128"/>
              <a:ea typeface="HG丸ｺﾞｼｯｸM-PRO" panose="020F0600000000000000" pitchFamily="50" charset="-128"/>
            </a:rPr>
            <a:t>】</a:t>
          </a: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　令和</a:t>
          </a:r>
          <a:r>
            <a:rPr kumimoji="1" lang="en-US" altLang="ja-JP" sz="1200">
              <a:latin typeface="HG丸ｺﾞｼｯｸM-PRO" panose="020F0600000000000000" pitchFamily="50" charset="-128"/>
              <a:ea typeface="HG丸ｺﾞｼｯｸM-PRO" panose="020F0600000000000000" pitchFamily="50" charset="-128"/>
            </a:rPr>
            <a:t>6</a:t>
          </a:r>
          <a:r>
            <a:rPr kumimoji="1" lang="ja-JP" altLang="en-US" sz="1200">
              <a:latin typeface="HG丸ｺﾞｼｯｸM-PRO" panose="020F0600000000000000" pitchFamily="50" charset="-128"/>
              <a:ea typeface="HG丸ｺﾞｼｯｸM-PRO" panose="020F0600000000000000" pitchFamily="50" charset="-128"/>
            </a:rPr>
            <a:t>年１月から令和</a:t>
          </a:r>
          <a:r>
            <a:rPr kumimoji="1" lang="en-US" altLang="ja-JP" sz="1200">
              <a:latin typeface="HG丸ｺﾞｼｯｸM-PRO" panose="020F0600000000000000" pitchFamily="50" charset="-128"/>
              <a:ea typeface="HG丸ｺﾞｼｯｸM-PRO" panose="020F0600000000000000" pitchFamily="50" charset="-128"/>
            </a:rPr>
            <a:t>6</a:t>
          </a:r>
          <a:r>
            <a:rPr kumimoji="1" lang="ja-JP" altLang="en-US" sz="1200">
              <a:latin typeface="HG丸ｺﾞｼｯｸM-PRO" panose="020F0600000000000000" pitchFamily="50" charset="-128"/>
              <a:ea typeface="HG丸ｺﾞｼｯｸM-PRO" panose="020F0600000000000000" pitchFamily="50" charset="-128"/>
            </a:rPr>
            <a:t>年１２月までの</a:t>
          </a:r>
          <a:r>
            <a:rPr kumimoji="1" lang="en-US" altLang="ja-JP" sz="1200">
              <a:latin typeface="HG丸ｺﾞｼｯｸM-PRO" panose="020F0600000000000000" pitchFamily="50" charset="-128"/>
              <a:ea typeface="HG丸ｺﾞｼｯｸM-PRO" panose="020F0600000000000000" pitchFamily="50" charset="-128"/>
            </a:rPr>
            <a:t>1</a:t>
          </a:r>
          <a:r>
            <a:rPr kumimoji="1" lang="ja-JP" altLang="en-US" sz="1200">
              <a:latin typeface="HG丸ｺﾞｼｯｸM-PRO" panose="020F0600000000000000" pitchFamily="50" charset="-128"/>
              <a:ea typeface="HG丸ｺﾞｼｯｸM-PRO" panose="020F0600000000000000" pitchFamily="50" charset="-128"/>
            </a:rPr>
            <a:t>年間の収入により、令和</a:t>
          </a:r>
          <a:r>
            <a:rPr kumimoji="1" lang="en-US" altLang="ja-JP" sz="1200">
              <a:latin typeface="HG丸ｺﾞｼｯｸM-PRO" panose="020F0600000000000000" pitchFamily="50" charset="-128"/>
              <a:ea typeface="HG丸ｺﾞｼｯｸM-PRO" panose="020F0600000000000000" pitchFamily="50" charset="-128"/>
            </a:rPr>
            <a:t>7</a:t>
          </a:r>
          <a:r>
            <a:rPr kumimoji="1" lang="ja-JP" altLang="en-US" sz="1200">
              <a:latin typeface="HG丸ｺﾞｼｯｸM-PRO" panose="020F0600000000000000" pitchFamily="50" charset="-128"/>
              <a:ea typeface="HG丸ｺﾞｼｯｸM-PRO" panose="020F0600000000000000" pitchFamily="50" charset="-128"/>
            </a:rPr>
            <a:t>年度（令和</a:t>
          </a:r>
          <a:r>
            <a:rPr kumimoji="1" lang="en-US" altLang="ja-JP" sz="1200">
              <a:latin typeface="HG丸ｺﾞｼｯｸM-PRO" panose="020F0600000000000000" pitchFamily="50" charset="-128"/>
              <a:ea typeface="HG丸ｺﾞｼｯｸM-PRO" panose="020F0600000000000000" pitchFamily="50" charset="-128"/>
            </a:rPr>
            <a:t>7</a:t>
          </a:r>
          <a:r>
            <a:rPr kumimoji="1" lang="ja-JP" altLang="en-US" sz="1200">
              <a:latin typeface="HG丸ｺﾞｼｯｸM-PRO" panose="020F0600000000000000" pitchFamily="50" charset="-128"/>
              <a:ea typeface="HG丸ｺﾞｼｯｸM-PRO" panose="020F0600000000000000" pitchFamily="50" charset="-128"/>
            </a:rPr>
            <a:t>年４月から令和</a:t>
          </a:r>
          <a:r>
            <a:rPr kumimoji="1" lang="en-US" altLang="ja-JP" sz="1200">
              <a:latin typeface="HG丸ｺﾞｼｯｸM-PRO" panose="020F0600000000000000" pitchFamily="50" charset="-128"/>
              <a:ea typeface="HG丸ｺﾞｼｯｸM-PRO" panose="020F0600000000000000" pitchFamily="50" charset="-128"/>
            </a:rPr>
            <a:t>8</a:t>
          </a:r>
          <a:r>
            <a:rPr kumimoji="1" lang="ja-JP" altLang="en-US" sz="1200">
              <a:latin typeface="HG丸ｺﾞｼｯｸM-PRO" panose="020F0600000000000000" pitchFamily="50" charset="-128"/>
              <a:ea typeface="HG丸ｺﾞｼｯｸM-PRO" panose="020F0600000000000000" pitchFamily="50" charset="-128"/>
            </a:rPr>
            <a:t>年３月までの１２か月分）の国民健康保険料を算出します。</a:t>
          </a:r>
          <a:endParaRPr kumimoji="1" lang="en-US" altLang="ja-JP" sz="1200">
            <a:latin typeface="HG丸ｺﾞｼｯｸM-PRO" panose="020F0600000000000000" pitchFamily="50" charset="-128"/>
            <a:ea typeface="HG丸ｺﾞｼｯｸM-PRO" panose="020F0600000000000000" pitchFamily="50" charset="-128"/>
          </a:endParaRPr>
        </a:p>
        <a:p>
          <a:pPr>
            <a:lnSpc>
              <a:spcPts val="1200"/>
            </a:lnSpc>
          </a:pPr>
          <a:endParaRPr kumimoji="1" lang="en-US" altLang="ja-JP" sz="12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a:latin typeface="HG丸ｺﾞｼｯｸM-PRO" panose="020F0600000000000000" pitchFamily="50" charset="-128"/>
              <a:ea typeface="HG丸ｺﾞｼｯｸM-PRO" panose="020F0600000000000000" pitchFamily="50" charset="-128"/>
            </a:rPr>
            <a:t>　　　　　　　　　　　　　　　問い合わせ先　</a:t>
          </a:r>
          <a:r>
            <a:rPr kumimoji="0" lang="ja-JP" altLang="en-US"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城陽市役所福祉保健部国保医療課国保年金係</a:t>
          </a:r>
          <a:endParaRPr kumimoji="0" lang="en-US" altLang="ja-JP"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　　　　　　　　　　　　　　　電話</a:t>
          </a:r>
          <a:r>
            <a:rPr kumimoji="0" lang="en-US" altLang="ja-JP"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 0774-56-4038</a:t>
          </a:r>
          <a:r>
            <a:rPr kumimoji="0" lang="ja-JP" altLang="en-US"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　ファックス</a:t>
          </a:r>
          <a:r>
            <a:rPr kumimoji="0" lang="en-US" altLang="ja-JP"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 0774-56-3999</a:t>
          </a:r>
        </a:p>
        <a:p>
          <a:pPr>
            <a:lnSpc>
              <a:spcPts val="1200"/>
            </a:lnSpc>
          </a:pPr>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578304</xdr:colOff>
      <xdr:row>59</xdr:row>
      <xdr:rowOff>142874</xdr:rowOff>
    </xdr:from>
    <xdr:to>
      <xdr:col>3</xdr:col>
      <xdr:colOff>34018</xdr:colOff>
      <xdr:row>60</xdr:row>
      <xdr:rowOff>170089</xdr:rowOff>
    </xdr:to>
    <xdr:sp macro="" textlink="">
      <xdr:nvSpPr>
        <xdr:cNvPr id="24" name="正方形/長方形 23"/>
        <xdr:cNvSpPr/>
      </xdr:nvSpPr>
      <xdr:spPr>
        <a:xfrm>
          <a:off x="1435554" y="11563349"/>
          <a:ext cx="65314" cy="2081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673555</xdr:colOff>
      <xdr:row>61</xdr:row>
      <xdr:rowOff>0</xdr:rowOff>
    </xdr:from>
    <xdr:to>
      <xdr:col>11</xdr:col>
      <xdr:colOff>891269</xdr:colOff>
      <xdr:row>62</xdr:row>
      <xdr:rowOff>6804</xdr:rowOff>
    </xdr:to>
    <xdr:sp macro="" textlink="">
      <xdr:nvSpPr>
        <xdr:cNvPr id="25" name="正方形/長方形 24"/>
        <xdr:cNvSpPr/>
      </xdr:nvSpPr>
      <xdr:spPr>
        <a:xfrm>
          <a:off x="7331530" y="11782425"/>
          <a:ext cx="217714" cy="1877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990600</xdr:colOff>
      <xdr:row>21</xdr:row>
      <xdr:rowOff>139700</xdr:rowOff>
    </xdr:from>
    <xdr:to>
      <xdr:col>25</xdr:col>
      <xdr:colOff>711200</xdr:colOff>
      <xdr:row>28</xdr:row>
      <xdr:rowOff>114300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10769600" y="5638800"/>
          <a:ext cx="4381500" cy="1485900"/>
        </a:xfrm>
        <a:prstGeom prst="wedgeRectCallout">
          <a:avLst>
            <a:gd name="adj1" fmla="val -22613"/>
            <a:gd name="adj2" fmla="val -820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t>産前産後の軽減が該当する場合、医療・支援、介護に分けて軽減月数を入力してください。また、産前産後軽減対象者は①に入力してください。</a:t>
          </a:r>
          <a:endParaRPr kumimoji="1" lang="en-US" altLang="ja-JP" sz="1800" b="1"/>
        </a:p>
        <a:p>
          <a:pPr algn="l"/>
          <a:endParaRPr kumimoji="1" lang="ja-JP" altLang="en-US" sz="1100"/>
        </a:p>
      </xdr:txBody>
    </xdr:sp>
    <xdr:clientData/>
  </xdr:twoCellAnchor>
  <xdr:twoCellAnchor>
    <xdr:from>
      <xdr:col>7</xdr:col>
      <xdr:colOff>282575</xdr:colOff>
      <xdr:row>13</xdr:row>
      <xdr:rowOff>0</xdr:rowOff>
    </xdr:from>
    <xdr:to>
      <xdr:col>8</xdr:col>
      <xdr:colOff>231775</xdr:colOff>
      <xdr:row>15</xdr:row>
      <xdr:rowOff>63500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4330700" y="3743325"/>
          <a:ext cx="292100" cy="48260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47</xdr:col>
      <xdr:colOff>130452</xdr:colOff>
      <xdr:row>67</xdr:row>
      <xdr:rowOff>41164</xdr:rowOff>
    </xdr:from>
    <xdr:to>
      <xdr:col>61</xdr:col>
      <xdr:colOff>440967</xdr:colOff>
      <xdr:row>102</xdr:row>
      <xdr:rowOff>95830</xdr:rowOff>
    </xdr:to>
    <xdr:sp macro="" textlink="">
      <xdr:nvSpPr>
        <xdr:cNvPr id="28232" name="AutoShape 197">
          <a:extLst>
            <a:ext uri="{FF2B5EF4-FFF2-40B4-BE49-F238E27FC236}">
              <a16:creationId xmlns:a16="http://schemas.microsoft.com/office/drawing/2014/main" id="{00000000-0008-0000-0100-0000486E0000}"/>
            </a:ext>
          </a:extLst>
        </xdr:cNvPr>
        <xdr:cNvSpPr>
          <a:spLocks noChangeAspect="1" noChangeArrowheads="1"/>
        </xdr:cNvSpPr>
      </xdr:nvSpPr>
      <xdr:spPr bwMode="auto">
        <a:xfrm>
          <a:off x="9083952" y="12895773"/>
          <a:ext cx="6953167" cy="6183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161925</xdr:colOff>
      <xdr:row>111</xdr:row>
      <xdr:rowOff>41413</xdr:rowOff>
    </xdr:from>
    <xdr:to>
      <xdr:col>38</xdr:col>
      <xdr:colOff>82827</xdr:colOff>
      <xdr:row>116</xdr:row>
      <xdr:rowOff>28575</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352425" y="20383500"/>
          <a:ext cx="6969402" cy="1080466"/>
        </a:xfrm>
        <a:prstGeom prst="roundRect">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sz="1050"/>
        </a:p>
      </xdr:txBody>
    </xdr:sp>
    <xdr:clientData/>
  </xdr:twoCellAnchor>
  <xdr:twoCellAnchor editAs="oneCell">
    <xdr:from>
      <xdr:col>3</xdr:col>
      <xdr:colOff>133349</xdr:colOff>
      <xdr:row>111</xdr:row>
      <xdr:rowOff>200025</xdr:rowOff>
    </xdr:from>
    <xdr:to>
      <xdr:col>7</xdr:col>
      <xdr:colOff>152400</xdr:colOff>
      <xdr:row>115</xdr:row>
      <xdr:rowOff>1</xdr:rowOff>
    </xdr:to>
    <xdr:pic>
      <xdr:nvPicPr>
        <xdr:cNvPr id="28234" name="図 5">
          <a:extLst>
            <a:ext uri="{FF2B5EF4-FFF2-40B4-BE49-F238E27FC236}">
              <a16:creationId xmlns:a16="http://schemas.microsoft.com/office/drawing/2014/main" id="{00000000-0008-0000-0100-00004A6E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93" t="2439" r="7291" b="6098"/>
        <a:stretch/>
      </xdr:blipFill>
      <xdr:spPr bwMode="auto">
        <a:xfrm>
          <a:off x="704849" y="20735925"/>
          <a:ext cx="781051"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57</xdr:row>
          <xdr:rowOff>171450</xdr:rowOff>
        </xdr:from>
        <xdr:to>
          <xdr:col>39</xdr:col>
          <xdr:colOff>152400</xdr:colOff>
          <xdr:row>69</xdr:row>
          <xdr:rowOff>161925</xdr:rowOff>
        </xdr:to>
        <xdr:sp macro="" textlink="">
          <xdr:nvSpPr>
            <xdr:cNvPr id="28023" name="Object 375" hidden="1">
              <a:extLst>
                <a:ext uri="{63B3BB69-23CF-44E3-9099-C40C66FF867C}">
                  <a14:compatExt spid="_x0000_s28023"/>
                </a:ext>
                <a:ext uri="{FF2B5EF4-FFF2-40B4-BE49-F238E27FC236}">
                  <a16:creationId xmlns:a16="http://schemas.microsoft.com/office/drawing/2014/main" id="{00000000-0008-0000-0100-00007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79</xdr:row>
          <xdr:rowOff>57150</xdr:rowOff>
        </xdr:from>
        <xdr:to>
          <xdr:col>39</xdr:col>
          <xdr:colOff>114300</xdr:colOff>
          <xdr:row>114</xdr:row>
          <xdr:rowOff>114300</xdr:rowOff>
        </xdr:to>
        <xdr:sp macro="" textlink="">
          <xdr:nvSpPr>
            <xdr:cNvPr id="28034" name="Object 386" hidden="1">
              <a:extLst>
                <a:ext uri="{63B3BB69-23CF-44E3-9099-C40C66FF867C}">
                  <a14:compatExt spid="_x0000_s28034"/>
                </a:ext>
                <a:ext uri="{FF2B5EF4-FFF2-40B4-BE49-F238E27FC236}">
                  <a16:creationId xmlns:a16="http://schemas.microsoft.com/office/drawing/2014/main" id="{00000000-0008-0000-0100-00008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66675</xdr:colOff>
      <xdr:row>0</xdr:row>
      <xdr:rowOff>123825</xdr:rowOff>
    </xdr:from>
    <xdr:to>
      <xdr:col>31</xdr:col>
      <xdr:colOff>66675</xdr:colOff>
      <xdr:row>2</xdr:row>
      <xdr:rowOff>200025</xdr:rowOff>
    </xdr:to>
    <xdr:sp macro="" textlink="">
      <xdr:nvSpPr>
        <xdr:cNvPr id="28035" name="AutoShape 387">
          <a:extLst>
            <a:ext uri="{FF2B5EF4-FFF2-40B4-BE49-F238E27FC236}">
              <a16:creationId xmlns:a16="http://schemas.microsoft.com/office/drawing/2014/main" id="{00000000-0008-0000-0100-0000836D0000}"/>
            </a:ext>
          </a:extLst>
        </xdr:cNvPr>
        <xdr:cNvSpPr>
          <a:spLocks noChangeAspect="1" noChangeArrowheads="1"/>
        </xdr:cNvSpPr>
      </xdr:nvSpPr>
      <xdr:spPr bwMode="auto">
        <a:xfrm>
          <a:off x="4448175" y="123825"/>
          <a:ext cx="1524000" cy="876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116205</xdr:colOff>
      <xdr:row>0</xdr:row>
      <xdr:rowOff>219075</xdr:rowOff>
    </xdr:from>
    <xdr:to>
      <xdr:col>32</xdr:col>
      <xdr:colOff>11430</xdr:colOff>
      <xdr:row>3</xdr:row>
      <xdr:rowOff>14021</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565" y="219075"/>
          <a:ext cx="1236345" cy="876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132519</xdr:colOff>
      <xdr:row>58</xdr:row>
      <xdr:rowOff>24849</xdr:rowOff>
    </xdr:from>
    <xdr:to>
      <xdr:col>37</xdr:col>
      <xdr:colOff>66260</xdr:colOff>
      <xdr:row>64</xdr:row>
      <xdr:rowOff>107587</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04519" y="11214653"/>
          <a:ext cx="2410241" cy="122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314325</xdr:colOff>
      <xdr:row>7</xdr:row>
      <xdr:rowOff>28575</xdr:rowOff>
    </xdr:from>
    <xdr:to>
      <xdr:col>17</xdr:col>
      <xdr:colOff>542925</xdr:colOff>
      <xdr:row>11</xdr:row>
      <xdr:rowOff>171450</xdr:rowOff>
    </xdr:to>
    <xdr:sp macro="" textlink="">
      <xdr:nvSpPr>
        <xdr:cNvPr id="32408" name="AutoShape 1112">
          <a:extLst>
            <a:ext uri="{FF2B5EF4-FFF2-40B4-BE49-F238E27FC236}">
              <a16:creationId xmlns:a16="http://schemas.microsoft.com/office/drawing/2014/main" id="{00000000-0008-0000-0400-0000987E0000}"/>
            </a:ext>
          </a:extLst>
        </xdr:cNvPr>
        <xdr:cNvSpPr>
          <a:spLocks/>
        </xdr:cNvSpPr>
      </xdr:nvSpPr>
      <xdr:spPr bwMode="auto">
        <a:xfrm>
          <a:off x="8191500" y="2305050"/>
          <a:ext cx="228600" cy="1409700"/>
        </a:xfrm>
        <a:prstGeom prst="rightBrace">
          <a:avLst>
            <a:gd name="adj1" fmla="val 51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273</xdr:row>
      <xdr:rowOff>28575</xdr:rowOff>
    </xdr:from>
    <xdr:to>
      <xdr:col>17</xdr:col>
      <xdr:colOff>542925</xdr:colOff>
      <xdr:row>277</xdr:row>
      <xdr:rowOff>171450</xdr:rowOff>
    </xdr:to>
    <xdr:sp macro="" textlink="">
      <xdr:nvSpPr>
        <xdr:cNvPr id="32409" name="AutoShape 1285">
          <a:extLst>
            <a:ext uri="{FF2B5EF4-FFF2-40B4-BE49-F238E27FC236}">
              <a16:creationId xmlns:a16="http://schemas.microsoft.com/office/drawing/2014/main" id="{00000000-0008-0000-0400-0000997E0000}"/>
            </a:ext>
          </a:extLst>
        </xdr:cNvPr>
        <xdr:cNvSpPr>
          <a:spLocks/>
        </xdr:cNvSpPr>
      </xdr:nvSpPr>
      <xdr:spPr bwMode="auto">
        <a:xfrm>
          <a:off x="8191500" y="44024550"/>
          <a:ext cx="228600" cy="1266825"/>
        </a:xfrm>
        <a:prstGeom prst="rightBrace">
          <a:avLst>
            <a:gd name="adj1" fmla="val 461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273</xdr:row>
      <xdr:rowOff>28575</xdr:rowOff>
    </xdr:from>
    <xdr:to>
      <xdr:col>17</xdr:col>
      <xdr:colOff>542925</xdr:colOff>
      <xdr:row>277</xdr:row>
      <xdr:rowOff>171450</xdr:rowOff>
    </xdr:to>
    <xdr:sp macro="" textlink="">
      <xdr:nvSpPr>
        <xdr:cNvPr id="32410" name="AutoShape 1286">
          <a:extLst>
            <a:ext uri="{FF2B5EF4-FFF2-40B4-BE49-F238E27FC236}">
              <a16:creationId xmlns:a16="http://schemas.microsoft.com/office/drawing/2014/main" id="{00000000-0008-0000-0400-00009A7E0000}"/>
            </a:ext>
          </a:extLst>
        </xdr:cNvPr>
        <xdr:cNvSpPr>
          <a:spLocks/>
        </xdr:cNvSpPr>
      </xdr:nvSpPr>
      <xdr:spPr bwMode="auto">
        <a:xfrm>
          <a:off x="8191500" y="44024550"/>
          <a:ext cx="228600" cy="1266825"/>
        </a:xfrm>
        <a:prstGeom prst="rightBrace">
          <a:avLst>
            <a:gd name="adj1" fmla="val 461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96</xdr:row>
      <xdr:rowOff>28575</xdr:rowOff>
    </xdr:from>
    <xdr:to>
      <xdr:col>17</xdr:col>
      <xdr:colOff>542925</xdr:colOff>
      <xdr:row>100</xdr:row>
      <xdr:rowOff>171450</xdr:rowOff>
    </xdr:to>
    <xdr:sp macro="" textlink="">
      <xdr:nvSpPr>
        <xdr:cNvPr id="32411" name="AutoShape 3904">
          <a:extLst>
            <a:ext uri="{FF2B5EF4-FFF2-40B4-BE49-F238E27FC236}">
              <a16:creationId xmlns:a16="http://schemas.microsoft.com/office/drawing/2014/main" id="{00000000-0008-0000-0400-00009B7E0000}"/>
            </a:ext>
          </a:extLst>
        </xdr:cNvPr>
        <xdr:cNvSpPr>
          <a:spLocks/>
        </xdr:cNvSpPr>
      </xdr:nvSpPr>
      <xdr:spPr bwMode="auto">
        <a:xfrm>
          <a:off x="8191500" y="23307675"/>
          <a:ext cx="228600" cy="1409700"/>
        </a:xfrm>
        <a:prstGeom prst="rightBrace">
          <a:avLst>
            <a:gd name="adj1" fmla="val 51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96</xdr:row>
      <xdr:rowOff>28575</xdr:rowOff>
    </xdr:from>
    <xdr:to>
      <xdr:col>17</xdr:col>
      <xdr:colOff>542925</xdr:colOff>
      <xdr:row>100</xdr:row>
      <xdr:rowOff>171450</xdr:rowOff>
    </xdr:to>
    <xdr:sp macro="" textlink="">
      <xdr:nvSpPr>
        <xdr:cNvPr id="32412" name="AutoShape 3905">
          <a:extLst>
            <a:ext uri="{FF2B5EF4-FFF2-40B4-BE49-F238E27FC236}">
              <a16:creationId xmlns:a16="http://schemas.microsoft.com/office/drawing/2014/main" id="{00000000-0008-0000-0400-00009C7E0000}"/>
            </a:ext>
          </a:extLst>
        </xdr:cNvPr>
        <xdr:cNvSpPr>
          <a:spLocks/>
        </xdr:cNvSpPr>
      </xdr:nvSpPr>
      <xdr:spPr bwMode="auto">
        <a:xfrm>
          <a:off x="8191500" y="23307675"/>
          <a:ext cx="228600" cy="1409700"/>
        </a:xfrm>
        <a:prstGeom prst="rightBrace">
          <a:avLst>
            <a:gd name="adj1" fmla="val 51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96</xdr:row>
      <xdr:rowOff>28575</xdr:rowOff>
    </xdr:from>
    <xdr:to>
      <xdr:col>17</xdr:col>
      <xdr:colOff>542925</xdr:colOff>
      <xdr:row>100</xdr:row>
      <xdr:rowOff>171450</xdr:rowOff>
    </xdr:to>
    <xdr:sp macro="" textlink="">
      <xdr:nvSpPr>
        <xdr:cNvPr id="32413" name="AutoShape 3918">
          <a:extLst>
            <a:ext uri="{FF2B5EF4-FFF2-40B4-BE49-F238E27FC236}">
              <a16:creationId xmlns:a16="http://schemas.microsoft.com/office/drawing/2014/main" id="{00000000-0008-0000-0400-00009D7E0000}"/>
            </a:ext>
          </a:extLst>
        </xdr:cNvPr>
        <xdr:cNvSpPr>
          <a:spLocks/>
        </xdr:cNvSpPr>
      </xdr:nvSpPr>
      <xdr:spPr bwMode="auto">
        <a:xfrm>
          <a:off x="8191500" y="23307675"/>
          <a:ext cx="228600" cy="1409700"/>
        </a:xfrm>
        <a:prstGeom prst="rightBrace">
          <a:avLst>
            <a:gd name="adj1" fmla="val 51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38100</xdr:colOff>
      <xdr:row>12</xdr:row>
      <xdr:rowOff>114300</xdr:rowOff>
    </xdr:from>
    <xdr:to>
      <xdr:col>68</xdr:col>
      <xdr:colOff>742950</xdr:colOff>
      <xdr:row>82</xdr:row>
      <xdr:rowOff>209550</xdr:rowOff>
    </xdr:to>
    <xdr:sp macro="" textlink="">
      <xdr:nvSpPr>
        <xdr:cNvPr id="32414" name="Line 11806">
          <a:extLst>
            <a:ext uri="{FF2B5EF4-FFF2-40B4-BE49-F238E27FC236}">
              <a16:creationId xmlns:a16="http://schemas.microsoft.com/office/drawing/2014/main" id="{00000000-0008-0000-0400-00009E7E0000}"/>
            </a:ext>
          </a:extLst>
        </xdr:cNvPr>
        <xdr:cNvSpPr>
          <a:spLocks noChangeShapeType="1"/>
        </xdr:cNvSpPr>
      </xdr:nvSpPr>
      <xdr:spPr bwMode="auto">
        <a:xfrm>
          <a:off x="33708975" y="3867150"/>
          <a:ext cx="7839075" cy="161067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247650</xdr:colOff>
      <xdr:row>12</xdr:row>
      <xdr:rowOff>190500</xdr:rowOff>
    </xdr:from>
    <xdr:to>
      <xdr:col>68</xdr:col>
      <xdr:colOff>704850</xdr:colOff>
      <xdr:row>82</xdr:row>
      <xdr:rowOff>95250</xdr:rowOff>
    </xdr:to>
    <xdr:sp macro="" textlink="">
      <xdr:nvSpPr>
        <xdr:cNvPr id="32415" name="Line 11807">
          <a:extLst>
            <a:ext uri="{FF2B5EF4-FFF2-40B4-BE49-F238E27FC236}">
              <a16:creationId xmlns:a16="http://schemas.microsoft.com/office/drawing/2014/main" id="{00000000-0008-0000-0400-00009F7E0000}"/>
            </a:ext>
          </a:extLst>
        </xdr:cNvPr>
        <xdr:cNvSpPr>
          <a:spLocks noChangeShapeType="1"/>
        </xdr:cNvSpPr>
      </xdr:nvSpPr>
      <xdr:spPr bwMode="auto">
        <a:xfrm flipH="1">
          <a:off x="33918525" y="3943350"/>
          <a:ext cx="7591425" cy="159162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247650</xdr:colOff>
      <xdr:row>12</xdr:row>
      <xdr:rowOff>190500</xdr:rowOff>
    </xdr:from>
    <xdr:to>
      <xdr:col>68</xdr:col>
      <xdr:colOff>704850</xdr:colOff>
      <xdr:row>82</xdr:row>
      <xdr:rowOff>95250</xdr:rowOff>
    </xdr:to>
    <xdr:sp macro="" textlink="">
      <xdr:nvSpPr>
        <xdr:cNvPr id="32416" name="Line 11809">
          <a:extLst>
            <a:ext uri="{FF2B5EF4-FFF2-40B4-BE49-F238E27FC236}">
              <a16:creationId xmlns:a16="http://schemas.microsoft.com/office/drawing/2014/main" id="{00000000-0008-0000-0400-0000A07E0000}"/>
            </a:ext>
          </a:extLst>
        </xdr:cNvPr>
        <xdr:cNvSpPr>
          <a:spLocks noChangeShapeType="1"/>
        </xdr:cNvSpPr>
      </xdr:nvSpPr>
      <xdr:spPr bwMode="auto">
        <a:xfrm flipH="1">
          <a:off x="33918525" y="3943350"/>
          <a:ext cx="7591425" cy="159162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38100</xdr:colOff>
      <xdr:row>101</xdr:row>
      <xdr:rowOff>114300</xdr:rowOff>
    </xdr:from>
    <xdr:to>
      <xdr:col>70</xdr:col>
      <xdr:colOff>47625</xdr:colOff>
      <xdr:row>171</xdr:row>
      <xdr:rowOff>209550</xdr:rowOff>
    </xdr:to>
    <xdr:sp macro="" textlink="">
      <xdr:nvSpPr>
        <xdr:cNvPr id="32417" name="Line 11810">
          <a:extLst>
            <a:ext uri="{FF2B5EF4-FFF2-40B4-BE49-F238E27FC236}">
              <a16:creationId xmlns:a16="http://schemas.microsoft.com/office/drawing/2014/main" id="{00000000-0008-0000-0400-0000A17E0000}"/>
            </a:ext>
          </a:extLst>
        </xdr:cNvPr>
        <xdr:cNvSpPr>
          <a:spLocks noChangeShapeType="1"/>
        </xdr:cNvSpPr>
      </xdr:nvSpPr>
      <xdr:spPr bwMode="auto">
        <a:xfrm>
          <a:off x="34109025" y="24869775"/>
          <a:ext cx="7839075" cy="161067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247650</xdr:colOff>
      <xdr:row>101</xdr:row>
      <xdr:rowOff>190500</xdr:rowOff>
    </xdr:from>
    <xdr:to>
      <xdr:col>70</xdr:col>
      <xdr:colOff>9525</xdr:colOff>
      <xdr:row>171</xdr:row>
      <xdr:rowOff>95250</xdr:rowOff>
    </xdr:to>
    <xdr:sp macro="" textlink="">
      <xdr:nvSpPr>
        <xdr:cNvPr id="32418" name="Line 11811">
          <a:extLst>
            <a:ext uri="{FF2B5EF4-FFF2-40B4-BE49-F238E27FC236}">
              <a16:creationId xmlns:a16="http://schemas.microsoft.com/office/drawing/2014/main" id="{00000000-0008-0000-0400-0000A27E0000}"/>
            </a:ext>
          </a:extLst>
        </xdr:cNvPr>
        <xdr:cNvSpPr>
          <a:spLocks noChangeShapeType="1"/>
        </xdr:cNvSpPr>
      </xdr:nvSpPr>
      <xdr:spPr bwMode="auto">
        <a:xfrm flipH="1">
          <a:off x="34318575" y="24945975"/>
          <a:ext cx="7591425" cy="159162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38100</xdr:colOff>
      <xdr:row>278</xdr:row>
      <xdr:rowOff>114300</xdr:rowOff>
    </xdr:from>
    <xdr:to>
      <xdr:col>68</xdr:col>
      <xdr:colOff>742950</xdr:colOff>
      <xdr:row>346</xdr:row>
      <xdr:rowOff>28575</xdr:rowOff>
    </xdr:to>
    <xdr:sp macro="" textlink="">
      <xdr:nvSpPr>
        <xdr:cNvPr id="32419" name="Line 11812">
          <a:extLst>
            <a:ext uri="{FF2B5EF4-FFF2-40B4-BE49-F238E27FC236}">
              <a16:creationId xmlns:a16="http://schemas.microsoft.com/office/drawing/2014/main" id="{00000000-0008-0000-0400-0000A37E0000}"/>
            </a:ext>
          </a:extLst>
        </xdr:cNvPr>
        <xdr:cNvSpPr>
          <a:spLocks noChangeShapeType="1"/>
        </xdr:cNvSpPr>
      </xdr:nvSpPr>
      <xdr:spPr bwMode="auto">
        <a:xfrm>
          <a:off x="33708975" y="45472350"/>
          <a:ext cx="7839075" cy="161067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247650</xdr:colOff>
      <xdr:row>278</xdr:row>
      <xdr:rowOff>190500</xdr:rowOff>
    </xdr:from>
    <xdr:to>
      <xdr:col>68</xdr:col>
      <xdr:colOff>704850</xdr:colOff>
      <xdr:row>345</xdr:row>
      <xdr:rowOff>152400</xdr:rowOff>
    </xdr:to>
    <xdr:sp macro="" textlink="">
      <xdr:nvSpPr>
        <xdr:cNvPr id="32420" name="Line 11813">
          <a:extLst>
            <a:ext uri="{FF2B5EF4-FFF2-40B4-BE49-F238E27FC236}">
              <a16:creationId xmlns:a16="http://schemas.microsoft.com/office/drawing/2014/main" id="{00000000-0008-0000-0400-0000A47E0000}"/>
            </a:ext>
          </a:extLst>
        </xdr:cNvPr>
        <xdr:cNvSpPr>
          <a:spLocks noChangeShapeType="1"/>
        </xdr:cNvSpPr>
      </xdr:nvSpPr>
      <xdr:spPr bwMode="auto">
        <a:xfrm flipH="1">
          <a:off x="33918525" y="45548550"/>
          <a:ext cx="7591425" cy="159162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314325</xdr:colOff>
      <xdr:row>184</xdr:row>
      <xdr:rowOff>28575</xdr:rowOff>
    </xdr:from>
    <xdr:to>
      <xdr:col>17</xdr:col>
      <xdr:colOff>542925</xdr:colOff>
      <xdr:row>188</xdr:row>
      <xdr:rowOff>171450</xdr:rowOff>
    </xdr:to>
    <xdr:sp macro="" textlink="">
      <xdr:nvSpPr>
        <xdr:cNvPr id="15" name="AutoShape 3904">
          <a:extLst>
            <a:ext uri="{FF2B5EF4-FFF2-40B4-BE49-F238E27FC236}">
              <a16:creationId xmlns:a16="http://schemas.microsoft.com/office/drawing/2014/main" id="{00000000-0008-0000-0400-00000F000000}"/>
            </a:ext>
          </a:extLst>
        </xdr:cNvPr>
        <xdr:cNvSpPr>
          <a:spLocks/>
        </xdr:cNvSpPr>
      </xdr:nvSpPr>
      <xdr:spPr bwMode="auto">
        <a:xfrm>
          <a:off x="8213725" y="23434675"/>
          <a:ext cx="228600" cy="1425575"/>
        </a:xfrm>
        <a:prstGeom prst="rightBrace">
          <a:avLst>
            <a:gd name="adj1" fmla="val 51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184</xdr:row>
      <xdr:rowOff>28575</xdr:rowOff>
    </xdr:from>
    <xdr:to>
      <xdr:col>17</xdr:col>
      <xdr:colOff>542925</xdr:colOff>
      <xdr:row>188</xdr:row>
      <xdr:rowOff>171450</xdr:rowOff>
    </xdr:to>
    <xdr:sp macro="" textlink="">
      <xdr:nvSpPr>
        <xdr:cNvPr id="16" name="AutoShape 3905">
          <a:extLst>
            <a:ext uri="{FF2B5EF4-FFF2-40B4-BE49-F238E27FC236}">
              <a16:creationId xmlns:a16="http://schemas.microsoft.com/office/drawing/2014/main" id="{00000000-0008-0000-0400-000010000000}"/>
            </a:ext>
          </a:extLst>
        </xdr:cNvPr>
        <xdr:cNvSpPr>
          <a:spLocks/>
        </xdr:cNvSpPr>
      </xdr:nvSpPr>
      <xdr:spPr bwMode="auto">
        <a:xfrm>
          <a:off x="8213725" y="23434675"/>
          <a:ext cx="228600" cy="1425575"/>
        </a:xfrm>
        <a:prstGeom prst="rightBrace">
          <a:avLst>
            <a:gd name="adj1" fmla="val 51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184</xdr:row>
      <xdr:rowOff>28575</xdr:rowOff>
    </xdr:from>
    <xdr:to>
      <xdr:col>17</xdr:col>
      <xdr:colOff>542925</xdr:colOff>
      <xdr:row>188</xdr:row>
      <xdr:rowOff>171450</xdr:rowOff>
    </xdr:to>
    <xdr:sp macro="" textlink="">
      <xdr:nvSpPr>
        <xdr:cNvPr id="17" name="AutoShape 3918">
          <a:extLst>
            <a:ext uri="{FF2B5EF4-FFF2-40B4-BE49-F238E27FC236}">
              <a16:creationId xmlns:a16="http://schemas.microsoft.com/office/drawing/2014/main" id="{00000000-0008-0000-0400-000011000000}"/>
            </a:ext>
          </a:extLst>
        </xdr:cNvPr>
        <xdr:cNvSpPr>
          <a:spLocks/>
        </xdr:cNvSpPr>
      </xdr:nvSpPr>
      <xdr:spPr bwMode="auto">
        <a:xfrm>
          <a:off x="8213725" y="23434675"/>
          <a:ext cx="228600" cy="1425575"/>
        </a:xfrm>
        <a:prstGeom prst="rightBrace">
          <a:avLst>
            <a:gd name="adj1" fmla="val 51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56</xdr:col>
      <xdr:colOff>38100</xdr:colOff>
      <xdr:row>189</xdr:row>
      <xdr:rowOff>114300</xdr:rowOff>
    </xdr:from>
    <xdr:to>
      <xdr:col>70</xdr:col>
      <xdr:colOff>47625</xdr:colOff>
      <xdr:row>259</xdr:row>
      <xdr:rowOff>209550</xdr:rowOff>
    </xdr:to>
    <xdr:sp macro="" textlink="">
      <xdr:nvSpPr>
        <xdr:cNvPr id="18" name="Line 11810">
          <a:extLst>
            <a:ext uri="{FF2B5EF4-FFF2-40B4-BE49-F238E27FC236}">
              <a16:creationId xmlns:a16="http://schemas.microsoft.com/office/drawing/2014/main" id="{00000000-0008-0000-0400-000012000000}"/>
            </a:ext>
          </a:extLst>
        </xdr:cNvPr>
        <xdr:cNvSpPr>
          <a:spLocks noChangeShapeType="1"/>
        </xdr:cNvSpPr>
      </xdr:nvSpPr>
      <xdr:spPr bwMode="auto">
        <a:xfrm>
          <a:off x="34069564" y="46024800"/>
          <a:ext cx="7779204" cy="162877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247650</xdr:colOff>
      <xdr:row>189</xdr:row>
      <xdr:rowOff>190500</xdr:rowOff>
    </xdr:from>
    <xdr:to>
      <xdr:col>70</xdr:col>
      <xdr:colOff>9525</xdr:colOff>
      <xdr:row>259</xdr:row>
      <xdr:rowOff>95250</xdr:rowOff>
    </xdr:to>
    <xdr:sp macro="" textlink="">
      <xdr:nvSpPr>
        <xdr:cNvPr id="19" name="Line 11811">
          <a:extLst>
            <a:ext uri="{FF2B5EF4-FFF2-40B4-BE49-F238E27FC236}">
              <a16:creationId xmlns:a16="http://schemas.microsoft.com/office/drawing/2014/main" id="{00000000-0008-0000-0400-000013000000}"/>
            </a:ext>
          </a:extLst>
        </xdr:cNvPr>
        <xdr:cNvSpPr>
          <a:spLocks noChangeShapeType="1"/>
        </xdr:cNvSpPr>
      </xdr:nvSpPr>
      <xdr:spPr bwMode="auto">
        <a:xfrm flipH="1">
          <a:off x="34334450" y="25095200"/>
          <a:ext cx="7623175" cy="159194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352425</xdr:colOff>
      <xdr:row>0</xdr:row>
      <xdr:rowOff>0</xdr:rowOff>
    </xdr:from>
    <xdr:to>
      <xdr:col>9</xdr:col>
      <xdr:colOff>352425</xdr:colOff>
      <xdr:row>8</xdr:row>
      <xdr:rowOff>0</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8175" y="0"/>
          <a:ext cx="274320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771526</xdr:colOff>
      <xdr:row>2</xdr:row>
      <xdr:rowOff>123826</xdr:rowOff>
    </xdr:from>
    <xdr:to>
      <xdr:col>2</xdr:col>
      <xdr:colOff>104776</xdr:colOff>
      <xdr:row>3</xdr:row>
      <xdr:rowOff>47626</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1657351" y="428626"/>
          <a:ext cx="209550" cy="114300"/>
        </a:xfrm>
        <a:prstGeom prst="rightArrow">
          <a:avLst/>
        </a:prstGeom>
        <a:solidFill>
          <a:schemeClr val="tx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7.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package" Target="../embeddings/Microsoft_Word___1.docx"/><Relationship Id="rId5" Type="http://schemas.openxmlformats.org/officeDocument/2006/relationships/image" Target="../media/image6.emf"/><Relationship Id="rId4" Type="http://schemas.openxmlformats.org/officeDocument/2006/relationships/package" Target="../embeddings/Microsoft_Word___.docx"/></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36"/>
  <sheetViews>
    <sheetView showGridLines="0" tabSelected="1" zoomScaleNormal="100" zoomScaleSheetLayoutView="140" workbookViewId="0">
      <selection activeCell="C21" sqref="C21"/>
    </sheetView>
  </sheetViews>
  <sheetFormatPr defaultColWidth="4.375" defaultRowHeight="13.5" customHeight="1" zeroHeight="1"/>
  <cols>
    <col min="1" max="1" width="3.5" style="684" customWidth="1"/>
    <col min="2" max="2" width="7.75" style="684" customWidth="1"/>
    <col min="3" max="3" width="8" style="684" customWidth="1"/>
    <col min="4" max="4" width="7.25" style="684" customWidth="1"/>
    <col min="5" max="5" width="8.25" style="684" customWidth="1"/>
    <col min="6" max="6" width="11.375" style="684" customWidth="1"/>
    <col min="7" max="7" width="4.125" style="684" customWidth="1"/>
    <col min="8" max="8" width="6.625" style="684" customWidth="1"/>
    <col min="9" max="9" width="8.75" style="684" customWidth="1"/>
    <col min="10" max="10" width="15.375" style="684" customWidth="1"/>
    <col min="11" max="11" width="6.375" style="684" customWidth="1"/>
    <col min="12" max="12" width="13.875" style="684" customWidth="1"/>
    <col min="13" max="13" width="8.375" style="684" customWidth="1"/>
    <col min="14" max="15" width="8.375" style="684" hidden="1" customWidth="1"/>
    <col min="16" max="22" width="17.125" style="684" hidden="1" customWidth="1"/>
    <col min="23" max="23" width="8.375" style="684" hidden="1" customWidth="1"/>
    <col min="24" max="24" width="11.375" style="684" hidden="1" customWidth="1"/>
    <col min="25" max="25" width="22.25" style="684" hidden="1" customWidth="1"/>
    <col min="26" max="27" width="11.375" style="684" hidden="1" customWidth="1"/>
    <col min="28" max="28" width="8.375" style="684" hidden="1" customWidth="1"/>
    <col min="29" max="35" width="8.375" style="684" customWidth="1"/>
    <col min="36" max="16384" width="4.375" style="684"/>
  </cols>
  <sheetData>
    <row r="1" spans="1:13" ht="35.25" customHeight="1">
      <c r="A1" s="815" t="s">
        <v>544</v>
      </c>
      <c r="B1" s="815"/>
      <c r="C1" s="815"/>
      <c r="D1" s="815"/>
      <c r="E1" s="815"/>
      <c r="F1" s="815"/>
      <c r="G1" s="815"/>
      <c r="H1" s="815"/>
      <c r="I1" s="815"/>
      <c r="J1" s="815"/>
      <c r="K1" s="815"/>
      <c r="L1" s="815"/>
      <c r="M1" s="815"/>
    </row>
    <row r="2" spans="1:13">
      <c r="B2" s="684" t="s">
        <v>545</v>
      </c>
    </row>
    <row r="3" spans="1:13">
      <c r="B3" s="684" t="s">
        <v>452</v>
      </c>
    </row>
    <row r="4" spans="1:13"/>
    <row r="5" spans="1:13" ht="16.5" customHeight="1">
      <c r="B5" s="685" t="s">
        <v>453</v>
      </c>
    </row>
    <row r="6" spans="1:13" ht="14.25" customHeight="1">
      <c r="B6" s="684" t="s">
        <v>454</v>
      </c>
    </row>
    <row r="7" spans="1:13" s="686" customFormat="1" ht="14.25" customHeight="1">
      <c r="B7" s="684" t="s">
        <v>455</v>
      </c>
    </row>
    <row r="8" spans="1:13" s="686" customFormat="1" ht="14.25" customHeight="1">
      <c r="B8" s="684" t="s">
        <v>456</v>
      </c>
    </row>
    <row r="9" spans="1:13" s="686" customFormat="1" ht="14.25" customHeight="1">
      <c r="B9" s="684" t="s">
        <v>457</v>
      </c>
    </row>
    <row r="10" spans="1:13" s="686" customFormat="1" ht="14.25" customHeight="1">
      <c r="B10" s="684" t="s">
        <v>546</v>
      </c>
    </row>
    <row r="11" spans="1:13" s="686" customFormat="1" ht="14.25" customHeight="1">
      <c r="B11" s="684" t="s">
        <v>458</v>
      </c>
    </row>
    <row r="12" spans="1:13" s="686" customFormat="1" ht="16.5" customHeight="1">
      <c r="B12" s="684" t="s">
        <v>459</v>
      </c>
      <c r="H12" s="687"/>
    </row>
    <row r="13" spans="1:13"/>
    <row r="14" spans="1:13" s="688" customFormat="1" ht="20.25" customHeight="1" thickBot="1">
      <c r="B14" s="688" t="s">
        <v>460</v>
      </c>
      <c r="J14" s="689"/>
    </row>
    <row r="15" spans="1:13" s="688" customFormat="1" ht="20.25" customHeight="1" thickTop="1" thickBot="1">
      <c r="C15" s="690" t="s">
        <v>461</v>
      </c>
      <c r="D15" s="691">
        <v>1</v>
      </c>
    </row>
    <row r="16" spans="1:13" s="688" customFormat="1" ht="20.25" customHeight="1" thickBot="1">
      <c r="C16" s="692" t="s">
        <v>462</v>
      </c>
      <c r="D16" s="693"/>
    </row>
    <row r="17" spans="2:27" s="688" customFormat="1" ht="14.25" customHeight="1">
      <c r="C17" s="694"/>
      <c r="D17" s="695"/>
    </row>
    <row r="18" spans="2:27" ht="14.25">
      <c r="B18" s="688"/>
      <c r="C18" s="694"/>
      <c r="D18" s="695"/>
      <c r="E18" s="688"/>
      <c r="F18" s="688"/>
      <c r="G18" s="688"/>
      <c r="H18" s="688"/>
      <c r="I18" s="688"/>
      <c r="J18" s="688"/>
      <c r="P18" s="684" t="s">
        <v>463</v>
      </c>
      <c r="X18" s="696" t="s">
        <v>464</v>
      </c>
      <c r="Y18" s="696"/>
      <c r="Z18" s="696"/>
      <c r="AA18" s="696"/>
    </row>
    <row r="19" spans="2:27" s="699" customFormat="1">
      <c r="B19" s="684"/>
      <c r="C19" s="697" t="s">
        <v>52</v>
      </c>
      <c r="D19" s="816" t="s">
        <v>53</v>
      </c>
      <c r="E19" s="816"/>
      <c r="F19" s="816" t="s">
        <v>54</v>
      </c>
      <c r="G19" s="816"/>
      <c r="H19" s="816" t="s">
        <v>55</v>
      </c>
      <c r="I19" s="816"/>
      <c r="J19" s="698" t="s">
        <v>465</v>
      </c>
      <c r="P19" s="700" t="s">
        <v>466</v>
      </c>
      <c r="Q19" s="701" t="s">
        <v>467</v>
      </c>
      <c r="R19" s="701" t="s">
        <v>468</v>
      </c>
      <c r="S19" s="701" t="s">
        <v>469</v>
      </c>
      <c r="T19" s="701" t="s">
        <v>470</v>
      </c>
      <c r="U19" s="701" t="s">
        <v>471</v>
      </c>
      <c r="V19" s="702" t="s">
        <v>472</v>
      </c>
      <c r="X19" s="703"/>
      <c r="Y19" s="704" t="s">
        <v>473</v>
      </c>
      <c r="Z19" s="704" t="s">
        <v>474</v>
      </c>
      <c r="AA19" s="705" t="s">
        <v>475</v>
      </c>
    </row>
    <row r="20" spans="2:27" ht="27" customHeight="1" thickBot="1">
      <c r="B20" s="706"/>
      <c r="C20" s="707" t="s">
        <v>476</v>
      </c>
      <c r="D20" s="817" t="s">
        <v>547</v>
      </c>
      <c r="E20" s="817"/>
      <c r="F20" s="818" t="s">
        <v>548</v>
      </c>
      <c r="G20" s="819"/>
      <c r="H20" s="820" t="s">
        <v>549</v>
      </c>
      <c r="I20" s="821"/>
      <c r="J20" s="708" t="s">
        <v>278</v>
      </c>
      <c r="P20" s="709">
        <f>IF(D21&lt;=550999,0,"")</f>
        <v>0</v>
      </c>
      <c r="Q20" s="710">
        <f>IF(D22&lt;=550999,0,"")</f>
        <v>0</v>
      </c>
      <c r="R20" s="710">
        <f>IF(D23&lt;=550999,0,"")</f>
        <v>0</v>
      </c>
      <c r="S20" s="710">
        <f>IF(D24&lt;=550999,0,"")</f>
        <v>0</v>
      </c>
      <c r="T20" s="710">
        <f>IF(D25&lt;=550999,0,"")</f>
        <v>0</v>
      </c>
      <c r="U20" s="710">
        <f>IF(D26&lt;=550999,0,"")</f>
        <v>0</v>
      </c>
      <c r="V20" s="711">
        <f>IF(D27&lt;=550999,0,"")</f>
        <v>0</v>
      </c>
      <c r="X20" s="712" t="s">
        <v>551</v>
      </c>
      <c r="Y20" s="713" t="s">
        <v>550</v>
      </c>
      <c r="Z20" s="822" t="s">
        <v>477</v>
      </c>
      <c r="AA20" s="823"/>
    </row>
    <row r="21" spans="2:27" ht="14.25" thickTop="1">
      <c r="B21" s="714" t="s">
        <v>478</v>
      </c>
      <c r="C21" s="715"/>
      <c r="D21" s="824"/>
      <c r="E21" s="825"/>
      <c r="F21" s="824"/>
      <c r="G21" s="825"/>
      <c r="H21" s="824"/>
      <c r="I21" s="826"/>
      <c r="J21" s="716">
        <f>IF(C21=0,0,P57)</f>
        <v>0</v>
      </c>
      <c r="P21" s="709" t="str">
        <f>IF(AND(651000&lt;=D21,D21&lt;=1899999),D21-650000,"")</f>
        <v/>
      </c>
      <c r="Q21" s="710" t="str">
        <f>IF(AND(651000&lt;=D22,D22&lt;=1899999),D22-650000,"")</f>
        <v/>
      </c>
      <c r="R21" s="710" t="str">
        <f>IF(AND(651000&lt;=D23,D23&lt;=1899999),D23-650000,"")</f>
        <v/>
      </c>
      <c r="S21" s="710" t="str">
        <f>IF(AND(651000&lt;=D24,D24&lt;=1899999),D24-650000,"")</f>
        <v/>
      </c>
      <c r="T21" s="710" t="str">
        <f>IF(AND(651000&lt;=D25,D25&lt;=1899999),D25-650000,"")</f>
        <v/>
      </c>
      <c r="U21" s="710" t="str">
        <f>IF(AND(651000&lt;=D26,D26&lt;=1899999),D26-650000,"")</f>
        <v/>
      </c>
      <c r="V21" s="711" t="str">
        <f>IF(AND(651000&lt;=D27,D27&lt;=1899999),D27-650000,"")</f>
        <v/>
      </c>
      <c r="X21" s="717" t="s">
        <v>552</v>
      </c>
      <c r="Y21" s="718" t="s">
        <v>553</v>
      </c>
      <c r="Z21" s="719">
        <v>1</v>
      </c>
      <c r="AA21" s="720">
        <v>650000</v>
      </c>
    </row>
    <row r="22" spans="2:27">
      <c r="B22" s="721" t="s">
        <v>479</v>
      </c>
      <c r="C22" s="722"/>
      <c r="D22" s="827"/>
      <c r="E22" s="828"/>
      <c r="F22" s="827"/>
      <c r="G22" s="828"/>
      <c r="H22" s="827"/>
      <c r="I22" s="829"/>
      <c r="J22" s="716">
        <f>IF(C22=0,0,Q57)</f>
        <v>0</v>
      </c>
      <c r="P22" s="812"/>
      <c r="Q22" s="813"/>
      <c r="R22" s="813"/>
      <c r="S22" s="813"/>
      <c r="T22" s="813"/>
      <c r="U22" s="813"/>
      <c r="V22" s="814"/>
      <c r="X22" s="830" t="s">
        <v>480</v>
      </c>
      <c r="Y22" s="808"/>
      <c r="Z22" s="833"/>
      <c r="AA22" s="834"/>
    </row>
    <row r="23" spans="2:27">
      <c r="B23" s="721" t="s">
        <v>481</v>
      </c>
      <c r="C23" s="722"/>
      <c r="D23" s="827"/>
      <c r="E23" s="828"/>
      <c r="F23" s="827"/>
      <c r="G23" s="828"/>
      <c r="H23" s="827"/>
      <c r="I23" s="829"/>
      <c r="J23" s="716">
        <f>IF(C23=0,0,R57)</f>
        <v>0</v>
      </c>
      <c r="P23" s="812"/>
      <c r="Q23" s="813"/>
      <c r="R23" s="813"/>
      <c r="S23" s="813"/>
      <c r="T23" s="813"/>
      <c r="U23" s="813"/>
      <c r="V23" s="814"/>
      <c r="X23" s="831"/>
      <c r="Y23" s="808"/>
      <c r="Z23" s="833"/>
      <c r="AA23" s="834"/>
    </row>
    <row r="24" spans="2:27">
      <c r="B24" s="721" t="s">
        <v>482</v>
      </c>
      <c r="C24" s="722"/>
      <c r="D24" s="827"/>
      <c r="E24" s="828"/>
      <c r="F24" s="827"/>
      <c r="G24" s="828"/>
      <c r="H24" s="827"/>
      <c r="I24" s="829"/>
      <c r="J24" s="716">
        <f>IF(C24=0,0,S57)</f>
        <v>0</v>
      </c>
      <c r="P24" s="812"/>
      <c r="Q24" s="813"/>
      <c r="R24" s="813"/>
      <c r="S24" s="813"/>
      <c r="T24" s="813"/>
      <c r="U24" s="813"/>
      <c r="V24" s="814"/>
      <c r="X24" s="831"/>
      <c r="Y24" s="808"/>
      <c r="Z24" s="833"/>
      <c r="AA24" s="834"/>
    </row>
    <row r="25" spans="2:27">
      <c r="B25" s="721" t="s">
        <v>483</v>
      </c>
      <c r="C25" s="722"/>
      <c r="D25" s="827"/>
      <c r="E25" s="828"/>
      <c r="F25" s="827"/>
      <c r="G25" s="828"/>
      <c r="H25" s="827"/>
      <c r="I25" s="829"/>
      <c r="J25" s="716">
        <f>IF(C25=0,0,T57)</f>
        <v>0</v>
      </c>
      <c r="P25" s="812"/>
      <c r="Q25" s="813"/>
      <c r="R25" s="813"/>
      <c r="S25" s="813"/>
      <c r="T25" s="813"/>
      <c r="U25" s="813"/>
      <c r="V25" s="814"/>
      <c r="X25" s="832"/>
      <c r="Y25" s="808"/>
      <c r="Z25" s="833"/>
      <c r="AA25" s="834"/>
    </row>
    <row r="26" spans="2:27">
      <c r="B26" s="721" t="s">
        <v>484</v>
      </c>
      <c r="C26" s="722"/>
      <c r="D26" s="827"/>
      <c r="E26" s="828"/>
      <c r="F26" s="827"/>
      <c r="G26" s="828"/>
      <c r="H26" s="827"/>
      <c r="I26" s="829"/>
      <c r="J26" s="716">
        <f>IF(C26=0,0,U57)</f>
        <v>0</v>
      </c>
      <c r="P26" s="812"/>
      <c r="Q26" s="813"/>
      <c r="R26" s="813"/>
      <c r="S26" s="813"/>
      <c r="T26" s="813"/>
      <c r="U26" s="813"/>
      <c r="V26" s="814"/>
      <c r="X26" s="837" t="s">
        <v>558</v>
      </c>
      <c r="Y26" s="808"/>
      <c r="Z26" s="809"/>
      <c r="AA26" s="810"/>
    </row>
    <row r="27" spans="2:27" ht="14.25" thickBot="1">
      <c r="B27" s="725" t="s">
        <v>485</v>
      </c>
      <c r="C27" s="726"/>
      <c r="D27" s="840"/>
      <c r="E27" s="841"/>
      <c r="F27" s="842"/>
      <c r="G27" s="841"/>
      <c r="H27" s="842"/>
      <c r="I27" s="843"/>
      <c r="J27" s="727">
        <f>IF(C27=0,0,V57)</f>
        <v>0</v>
      </c>
      <c r="P27" s="709" t="str">
        <f>IF(AND(1900000&lt;=D21,D21&lt;=3599999),ROUNDDOWN(D21/4000,0)*4000*0.7-80000,"")</f>
        <v/>
      </c>
      <c r="Q27" s="710" t="str">
        <f>IF(AND(1900000&lt;=D22,D22&lt;=3599999),ROUNDDOWN(D22/4000,0)*4000*0.7-80000,"")</f>
        <v/>
      </c>
      <c r="R27" s="710" t="str">
        <f>IF(AND(1900000&lt;=D23,D23&lt;=3599999),ROUNDDOWN(D23/4000,0)*4000*0.7-80000,"")</f>
        <v/>
      </c>
      <c r="S27" s="710" t="str">
        <f>IF(AND(1900000&lt;=D24,D24&lt;=3599999),ROUNDDOWN(D24/4000,0)*4000*0.7-80000,"")</f>
        <v/>
      </c>
      <c r="T27" s="710" t="str">
        <f>IF(AND(1900000&lt;=D25,D25&lt;=3599999),ROUNDDOWN(D25/4000,0)*4000*0.7-80000,"")</f>
        <v/>
      </c>
      <c r="U27" s="710" t="str">
        <f>IF(AND(1900000&lt;=D26,D26&lt;=3599999),ROUNDDOWN(D26/4000,0)*4000*0.7-80000,"")</f>
        <v/>
      </c>
      <c r="V27" s="711" t="str">
        <f>IF(AND(1900000&lt;=D27,D27&lt;=3599999),ROUNDDOWN(D27/4000,0)*4000*0.7-80000,"")</f>
        <v/>
      </c>
      <c r="X27" s="838"/>
      <c r="Y27" s="723" t="s">
        <v>554</v>
      </c>
      <c r="Z27" s="724">
        <v>0.7</v>
      </c>
      <c r="AA27" s="720">
        <v>80000</v>
      </c>
    </row>
    <row r="28" spans="2:27" ht="14.25" thickTop="1">
      <c r="B28" s="728" t="s">
        <v>486</v>
      </c>
      <c r="C28" s="729">
        <v>63</v>
      </c>
      <c r="D28" s="844">
        <v>2564360</v>
      </c>
      <c r="E28" s="844"/>
      <c r="F28" s="844">
        <v>630124</v>
      </c>
      <c r="G28" s="844"/>
      <c r="H28" s="844">
        <v>0</v>
      </c>
      <c r="I28" s="844"/>
      <c r="J28" s="730">
        <v>1714800</v>
      </c>
      <c r="P28" s="709" t="str">
        <f>IF(AND(3600000&lt;=D21,D21&lt;=6599999),ROUNDDOWN(D21/4000,0)*4000*0.8-440000,"")</f>
        <v/>
      </c>
      <c r="Q28" s="710" t="str">
        <f>IF(AND(3600000&lt;=D22,D22&lt;=6599999),ROUNDDOWN(D22/4000,0)*4000*0.8-440000,"")</f>
        <v/>
      </c>
      <c r="R28" s="710" t="str">
        <f>IF(AND(3600000&lt;=D23,D23&lt;=6599999),ROUNDDOWN(D23/4000,0)*4000*0.8-440000,"")</f>
        <v/>
      </c>
      <c r="S28" s="710" t="str">
        <f>IF(AND(3600000&lt;=D24,D24&lt;=6599999),ROUNDDOWN(D24/4000,0)*4000*0.8-440000,"")</f>
        <v/>
      </c>
      <c r="T28" s="710" t="str">
        <f>IF(AND(3600000&lt;=D25,D25&lt;=6599999),ROUNDDOWN(D25/4000,0)*4000*0.8-440000,"")</f>
        <v/>
      </c>
      <c r="U28" s="710" t="str">
        <f>IF(AND(3600000&lt;=D26,D26&lt;=6599999),ROUNDDOWN(D26/4000,0)*4000*0.8-440000,"")</f>
        <v/>
      </c>
      <c r="V28" s="711" t="str">
        <f>IF(AND(3600000&lt;=D27,D27&lt;=6599999),ROUNDDOWN(D27/4000,0)*4000*0.8-440000,"")</f>
        <v/>
      </c>
      <c r="X28" s="839"/>
      <c r="Y28" s="723" t="s">
        <v>555</v>
      </c>
      <c r="Z28" s="724">
        <v>0.8</v>
      </c>
      <c r="AA28" s="720">
        <v>440000</v>
      </c>
    </row>
    <row r="29" spans="2:27" ht="13.5" customHeight="1">
      <c r="P29" s="709" t="str">
        <f>IF(AND(6600000&lt;=D21,D21&lt;=8499999),ROUNDDOWN(D21*0.9-1100000,0),"")</f>
        <v/>
      </c>
      <c r="Q29" s="710" t="str">
        <f>IF(AND(6600000&lt;=D22,D22&lt;=8499999),ROUNDDOWN(D22*0.9-1100000,0),"")</f>
        <v/>
      </c>
      <c r="R29" s="710" t="str">
        <f>IF(AND(6600000&lt;=D23,D23&lt;=8499999),ROUNDDOWN(D23*0.9-1100000,0),"")</f>
        <v/>
      </c>
      <c r="S29" s="710" t="str">
        <f>IF(AND(6600000&lt;=D24,D24&lt;=8499999),ROUNDDOWN(D24*0.9-1100000,0),"")</f>
        <v/>
      </c>
      <c r="T29" s="710" t="str">
        <f>IF(AND(6600000&lt;=D25,D25&lt;=8499999),ROUNDDOWN(D25*0.9-1100000,0),"")</f>
        <v/>
      </c>
      <c r="U29" s="710" t="str">
        <f>IF(AND(6600000&lt;=D26,D26&lt;=8499999),ROUNDDOWN(D26*0.9-1100000,0),"")</f>
        <v/>
      </c>
      <c r="V29" s="711" t="str">
        <f>IF(AND(6600000&lt;=D27,D27&lt;=8499999),ROUNDDOWN(D27*0.9-1100000,0),"")</f>
        <v/>
      </c>
      <c r="X29" s="845" t="s">
        <v>487</v>
      </c>
      <c r="Y29" s="723" t="s">
        <v>556</v>
      </c>
      <c r="Z29" s="724">
        <v>0.9</v>
      </c>
      <c r="AA29" s="720">
        <v>1100000</v>
      </c>
    </row>
    <row r="30" spans="2:27" ht="16.5" customHeight="1">
      <c r="D30" s="731"/>
      <c r="E30" s="731"/>
      <c r="P30" s="732" t="str">
        <f>IF(D21&gt;=8500000,D21-1950000,"")</f>
        <v/>
      </c>
      <c r="Q30" s="733" t="str">
        <f>IF(D22&gt;=8500000,D22-1950000,"")</f>
        <v/>
      </c>
      <c r="R30" s="733" t="str">
        <f>IF(D23&gt;=8500000,D23-1950000,"")</f>
        <v/>
      </c>
      <c r="S30" s="733" t="str">
        <f>IF(D24&gt;=8500000,D24-1950000,"")</f>
        <v/>
      </c>
      <c r="T30" s="733" t="str">
        <f>IF(D25&gt;=8500000,D25-1950000,"")</f>
        <v/>
      </c>
      <c r="U30" s="733" t="str">
        <f>IF(D26&gt;=8500000,D26-1950000,"")</f>
        <v/>
      </c>
      <c r="V30" s="734" t="str">
        <f>IF(D27&gt;=8500000,D27-1950000,"")</f>
        <v/>
      </c>
      <c r="X30" s="846"/>
      <c r="Y30" s="735" t="s">
        <v>557</v>
      </c>
      <c r="Z30" s="835" t="s">
        <v>488</v>
      </c>
      <c r="AA30" s="836"/>
    </row>
    <row r="31" spans="2:27" ht="18" thickBot="1">
      <c r="B31" s="685" t="s">
        <v>489</v>
      </c>
      <c r="D31" s="731"/>
      <c r="E31" s="731"/>
      <c r="O31" s="736" t="s">
        <v>490</v>
      </c>
      <c r="P31" s="737">
        <f>SUM(P20:P30)</f>
        <v>0</v>
      </c>
      <c r="Q31" s="738">
        <f t="shared" ref="Q31:V31" si="0">SUM(Q20:Q30)</f>
        <v>0</v>
      </c>
      <c r="R31" s="738">
        <f t="shared" si="0"/>
        <v>0</v>
      </c>
      <c r="S31" s="738">
        <f t="shared" si="0"/>
        <v>0</v>
      </c>
      <c r="T31" s="738">
        <f t="shared" si="0"/>
        <v>0</v>
      </c>
      <c r="U31" s="738">
        <f t="shared" si="0"/>
        <v>0</v>
      </c>
      <c r="V31" s="739">
        <f t="shared" si="0"/>
        <v>0</v>
      </c>
    </row>
    <row r="32" spans="2:27" ht="13.5" customHeight="1">
      <c r="B32" s="847" t="s">
        <v>491</v>
      </c>
      <c r="C32" s="848"/>
      <c r="D32" s="851">
        <f>SUM(D34:F41)</f>
        <v>0</v>
      </c>
      <c r="E32" s="852"/>
      <c r="F32" s="852"/>
      <c r="G32" s="740"/>
      <c r="H32" s="741"/>
      <c r="I32" s="847" t="s">
        <v>492</v>
      </c>
      <c r="J32" s="855"/>
      <c r="K32" s="857" t="s">
        <v>493</v>
      </c>
      <c r="L32" s="858"/>
      <c r="O32" s="736" t="s">
        <v>494</v>
      </c>
      <c r="P32" s="737">
        <f>IF(P54=1,P31,IF(AND(P54=2,P31+P48&lt;100000),P31,IF(AND(P54=2,P31+P48&gt;=100000,P31+P48&lt;200000),P31-(P31+P48-100000),IF(AND(P48&gt;0,P48&lt;100000),MAX(P31-P48,0),IF(P48&gt;=100000,MAX(P31-100000,0),0)))))</f>
        <v>0</v>
      </c>
      <c r="Q32" s="738">
        <f t="shared" ref="Q32:V32" si="1">IF(Q54=1,Q31,IF(AND(Q54=2,Q31+Q48&lt;100000),Q31,IF(AND(Q54=2,Q31+Q48&gt;=100000,Q31+Q48&lt;200000),Q31-(Q31+Q48-100000),IF(AND(Q48&gt;0,Q48&lt;100000),MAX(Q31-Q48,0),IF(Q48&gt;=100000,MAX(Q31-100000,0),0)))))</f>
        <v>0</v>
      </c>
      <c r="R32" s="738">
        <f t="shared" si="1"/>
        <v>0</v>
      </c>
      <c r="S32" s="738">
        <f t="shared" si="1"/>
        <v>0</v>
      </c>
      <c r="T32" s="738">
        <f t="shared" si="1"/>
        <v>0</v>
      </c>
      <c r="U32" s="738">
        <f t="shared" si="1"/>
        <v>0</v>
      </c>
      <c r="V32" s="739">
        <f t="shared" si="1"/>
        <v>0</v>
      </c>
    </row>
    <row r="33" spans="2:27" ht="13.5" customHeight="1">
      <c r="B33" s="849"/>
      <c r="C33" s="850"/>
      <c r="D33" s="853"/>
      <c r="E33" s="854"/>
      <c r="F33" s="854"/>
      <c r="G33" s="742" t="s">
        <v>6</v>
      </c>
      <c r="H33" s="743"/>
      <c r="I33" s="849"/>
      <c r="J33" s="856"/>
      <c r="K33" s="859"/>
      <c r="L33" s="860"/>
    </row>
    <row r="34" spans="2:27" ht="13.5" customHeight="1">
      <c r="B34" s="861" t="s">
        <v>495</v>
      </c>
      <c r="C34" s="862"/>
      <c r="D34" s="865">
        <f>IF(C21=0,0,'合計（印刷）'!F6)</f>
        <v>0</v>
      </c>
      <c r="E34" s="866"/>
      <c r="F34" s="866"/>
      <c r="G34" s="744"/>
      <c r="H34" s="741"/>
      <c r="I34" s="869">
        <f>D32/12</f>
        <v>0</v>
      </c>
      <c r="J34" s="870"/>
      <c r="K34" s="873" t="str">
        <f>IF(C21=0,"",O65)</f>
        <v/>
      </c>
      <c r="L34" s="745"/>
      <c r="P34" s="684" t="s">
        <v>496</v>
      </c>
      <c r="X34" s="696" t="s">
        <v>497</v>
      </c>
      <c r="Y34" s="696"/>
      <c r="Z34" s="696"/>
      <c r="AA34" s="696"/>
    </row>
    <row r="35" spans="2:27" ht="13.5" customHeight="1">
      <c r="B35" s="863"/>
      <c r="C35" s="864"/>
      <c r="D35" s="867"/>
      <c r="E35" s="868"/>
      <c r="F35" s="868"/>
      <c r="G35" s="742" t="s">
        <v>6</v>
      </c>
      <c r="H35" s="743"/>
      <c r="I35" s="869"/>
      <c r="J35" s="870"/>
      <c r="K35" s="873"/>
      <c r="L35" s="875" t="s">
        <v>498</v>
      </c>
      <c r="O35" s="746"/>
      <c r="P35" s="747" t="s">
        <v>499</v>
      </c>
      <c r="Q35" s="748" t="s">
        <v>500</v>
      </c>
      <c r="R35" s="748" t="s">
        <v>501</v>
      </c>
      <c r="S35" s="748" t="s">
        <v>502</v>
      </c>
      <c r="T35" s="748" t="s">
        <v>503</v>
      </c>
      <c r="U35" s="748" t="s">
        <v>504</v>
      </c>
      <c r="V35" s="749" t="s">
        <v>505</v>
      </c>
      <c r="X35" s="750"/>
      <c r="Y35" s="751" t="s">
        <v>506</v>
      </c>
      <c r="Z35" s="751" t="s">
        <v>474</v>
      </c>
      <c r="AA35" s="752" t="s">
        <v>475</v>
      </c>
    </row>
    <row r="36" spans="2:27" ht="13.5" customHeight="1">
      <c r="B36" s="863" t="s">
        <v>507</v>
      </c>
      <c r="C36" s="864"/>
      <c r="D36" s="867">
        <f>IF(C21=0,0,'合計（印刷）'!F7)</f>
        <v>0</v>
      </c>
      <c r="E36" s="868"/>
      <c r="F36" s="868"/>
      <c r="G36" s="753"/>
      <c r="H36" s="741"/>
      <c r="I36" s="869"/>
      <c r="J36" s="870"/>
      <c r="K36" s="873"/>
      <c r="L36" s="875"/>
      <c r="O36" s="883" t="s">
        <v>508</v>
      </c>
      <c r="P36" s="754">
        <f>IF(C21&lt;65,(IF(F21&lt;=600000,0,"")),"")</f>
        <v>0</v>
      </c>
      <c r="Q36" s="755">
        <f>IF(C22&lt;65,(IF(F22&lt;=600000,0,"")),"")</f>
        <v>0</v>
      </c>
      <c r="R36" s="755">
        <f>IF(C23&lt;65,(IF(F23&lt;=600000,0,"")),"")</f>
        <v>0</v>
      </c>
      <c r="S36" s="755">
        <f>IF(C24&lt;65,(IF(F24&lt;=600000,0,"")),"")</f>
        <v>0</v>
      </c>
      <c r="T36" s="755">
        <f>IF(C25&lt;65,(IF(F25&lt;=600000,0,"")),"")</f>
        <v>0</v>
      </c>
      <c r="U36" s="755">
        <f>IF(C26&lt;65,(IF(F26&lt;=600000,0,"")),"")</f>
        <v>0</v>
      </c>
      <c r="V36" s="756">
        <f>IF(C27&lt;65,(IF(F27&lt;=600000,0,"")),"")</f>
        <v>0</v>
      </c>
      <c r="X36" s="757" t="s">
        <v>508</v>
      </c>
      <c r="Y36" s="886" t="s">
        <v>509</v>
      </c>
      <c r="Z36" s="888">
        <v>1</v>
      </c>
      <c r="AA36" s="890">
        <v>600000</v>
      </c>
    </row>
    <row r="37" spans="2:27" ht="13.5" customHeight="1" thickBot="1">
      <c r="B37" s="863"/>
      <c r="C37" s="864"/>
      <c r="D37" s="867"/>
      <c r="E37" s="868"/>
      <c r="F37" s="868"/>
      <c r="G37" s="758" t="s">
        <v>6</v>
      </c>
      <c r="H37" s="743"/>
      <c r="I37" s="871"/>
      <c r="J37" s="872"/>
      <c r="K37" s="874"/>
      <c r="L37" s="759"/>
      <c r="O37" s="884"/>
      <c r="P37" s="709" t="str">
        <f>IF(C21&lt;65,(IF(AND(F21&lt;1300000,F21&gt;600000),F21-600000,"")),"")</f>
        <v/>
      </c>
      <c r="Q37" s="710" t="str">
        <f>IF(C22&lt;65,(IF(AND(F22&lt;1300000,F22&gt;600000),F22-600000,"")),"")</f>
        <v/>
      </c>
      <c r="R37" s="710" t="str">
        <f>IF(C23&lt;65,(IF(AND(F23&lt;1300000,F23&gt;600000),F23-600000,"")),"")</f>
        <v/>
      </c>
      <c r="S37" s="710" t="str">
        <f>IF(C24&lt;65,(IF(AND(F24&lt;1300000,F24&gt;600000),F24-600000,"")),"")</f>
        <v/>
      </c>
      <c r="T37" s="710" t="str">
        <f>IF(C25&lt;65,(IF(AND(F25&lt;1300000,F25&gt;600000),F25-600000,"")),"")</f>
        <v/>
      </c>
      <c r="U37" s="710" t="str">
        <f>IF(C26&lt;65,(IF(AND(F26&lt;1300000,F26&gt;600000),F26-600000,"")),"")</f>
        <v/>
      </c>
      <c r="V37" s="711" t="str">
        <f>IF(C27&lt;65,(IF(AND(F27&lt;1300000,F27&gt;600000),F27-600000,"")),"")</f>
        <v/>
      </c>
      <c r="X37" s="760"/>
      <c r="Y37" s="887"/>
      <c r="Z37" s="889"/>
      <c r="AA37" s="891"/>
    </row>
    <row r="38" spans="2:27" ht="13.5" customHeight="1">
      <c r="B38" s="863" t="s">
        <v>409</v>
      </c>
      <c r="C38" s="864"/>
      <c r="D38" s="867">
        <f>IF(C21=0,0,'合計（印刷）'!F8)</f>
        <v>0</v>
      </c>
      <c r="E38" s="868"/>
      <c r="F38" s="868"/>
      <c r="G38" s="753"/>
      <c r="H38" s="741"/>
      <c r="K38" s="876" t="s">
        <v>511</v>
      </c>
      <c r="L38" s="876"/>
      <c r="O38" s="884"/>
      <c r="P38" s="709" t="str">
        <f>IF(C21&lt;65,(IF(AND(1300000&lt;=F21,F21&lt;4100000),ROUNDDOWN(F21*0.75-275000,0),"")),"")</f>
        <v/>
      </c>
      <c r="Q38" s="710" t="str">
        <f>IF(C22&lt;65,(IF(AND(1300000&lt;=F22,F22&lt;4100000),ROUNDDOWN(F22*0.75-275000,0),"")),"")</f>
        <v/>
      </c>
      <c r="R38" s="710" t="str">
        <f>IF(C23&lt;65,(IF(AND(1300000&lt;=F23,F23&lt;4100000),ROUNDDOWN(F23*0.75-275000,0),"")),"")</f>
        <v/>
      </c>
      <c r="S38" s="710" t="str">
        <f>IF(C24&lt;65,(IF(AND(1300000&lt;=F24,F24&lt;4100000),ROUNDDOWN(F24*0.75-275000,0),"")),"")</f>
        <v/>
      </c>
      <c r="T38" s="710" t="str">
        <f>IF(C25&lt;65,(IF(AND(1300000&lt;=F25,F25&lt;4100000),ROUNDDOWN(F25*0.75-275000,0),"")),"")</f>
        <v/>
      </c>
      <c r="U38" s="710" t="str">
        <f>IF(C26&lt;65,(IF(AND(1300000&lt;=F26,F26&lt;4100000),ROUNDDOWN(F26*0.75-275000,0),"")),"")</f>
        <v/>
      </c>
      <c r="V38" s="711" t="str">
        <f>IF(C27&lt;65,(IF(AND(1300000&lt;=F27,F27&lt;4100000),ROUNDDOWN(F27*0.75-275000,0),"")),"")</f>
        <v/>
      </c>
      <c r="X38" s="760"/>
      <c r="Y38" s="718" t="s">
        <v>512</v>
      </c>
      <c r="Z38" s="761">
        <v>0.75</v>
      </c>
      <c r="AA38" s="711">
        <v>275000</v>
      </c>
    </row>
    <row r="39" spans="2:27" ht="13.5" customHeight="1">
      <c r="B39" s="863"/>
      <c r="C39" s="864"/>
      <c r="D39" s="867"/>
      <c r="E39" s="868"/>
      <c r="F39" s="868"/>
      <c r="G39" s="758" t="s">
        <v>6</v>
      </c>
      <c r="H39" s="743"/>
      <c r="O39" s="884"/>
      <c r="P39" s="709" t="str">
        <f>IF(C21&lt;65,(IF(AND(4100000&lt;=F21,F21&lt;7700000),ROUNDDOWN(F21*0.85-685000,0),"")),"")</f>
        <v/>
      </c>
      <c r="Q39" s="710" t="str">
        <f>IF(C22&lt;65,(IF(AND(4100000&lt;=F22,F22&lt;7700000),ROUNDDOWN(F22*0.85-685000,0),"")),"")</f>
        <v/>
      </c>
      <c r="R39" s="710" t="str">
        <f>IF(C23&lt;65,(IF(AND(4100000&lt;=F23,F23&lt;7700000),ROUNDDOWN(F23*0.85-685000,0),"")),"")</f>
        <v/>
      </c>
      <c r="S39" s="710" t="str">
        <f>IF(C24&lt;65,(IF(AND(4100000&lt;=F24,F24&lt;7700000),ROUNDDOWN(F24*0.85-685000,0),"")),"")</f>
        <v/>
      </c>
      <c r="T39" s="710" t="str">
        <f>IF(C25&lt;65,(IF(AND(4100000&lt;=F25,F25&lt;7700000),ROUNDDOWN(F25*0.85-685000,0),"")),"")</f>
        <v/>
      </c>
      <c r="U39" s="710" t="str">
        <f>IF(C26&lt;65,(IF(AND(4100000&lt;=F26,F26&lt;7700000),ROUNDDOWN(F26*0.85-685000,0),"")),"")</f>
        <v/>
      </c>
      <c r="V39" s="711" t="str">
        <f>IF(C27&lt;65,(IF(AND(4100000&lt;=F27,F27&lt;7700000),ROUNDDOWN(F27*0.85-685000,0),"")),"")</f>
        <v/>
      </c>
      <c r="X39" s="760"/>
      <c r="Y39" s="718" t="s">
        <v>513</v>
      </c>
      <c r="Z39" s="761">
        <v>0.85</v>
      </c>
      <c r="AA39" s="711">
        <v>685000</v>
      </c>
    </row>
    <row r="40" spans="2:27" ht="13.5" customHeight="1">
      <c r="B40" s="877" t="s">
        <v>510</v>
      </c>
      <c r="C40" s="878"/>
      <c r="D40" s="867">
        <f>IF(C21=0,0,'合計（印刷）'!F9)</f>
        <v>0</v>
      </c>
      <c r="E40" s="868"/>
      <c r="F40" s="868"/>
      <c r="G40" s="762"/>
      <c r="O40" s="884"/>
      <c r="P40" s="709" t="str">
        <f>IF(C21&lt;65,(IF(AND(7700000&lt;=F21,F21&lt;10000000),ROUNDDOWN(F21*0.95-1455000,0),"")),"")</f>
        <v/>
      </c>
      <c r="Q40" s="710" t="str">
        <f>IF(C22&lt;65,(IF(AND(7700000&lt;=F22,F22&lt;10000000),ROUNDDOWN(F22*0.95-1455000,0),"")),"")</f>
        <v/>
      </c>
      <c r="R40" s="710" t="str">
        <f>IF(C23&lt;65,(IF(AND(7700000&lt;=F23,F23&lt;10000000),ROUNDDOWN(F23*0.95-1455000,0),"")),"")</f>
        <v/>
      </c>
      <c r="S40" s="710" t="str">
        <f>IF(C24&lt;65,(IF(AND(7700000&lt;=F24,F24&lt;10000000),ROUNDDOWN(F24*0.95-1455000,0),"")),"")</f>
        <v/>
      </c>
      <c r="T40" s="710" t="str">
        <f>IF(C25&lt;65,(IF(AND(7700000&lt;=F25,F25&lt;10000000),ROUNDDOWN(F25*0.95-1455000,0),"")),"")</f>
        <v/>
      </c>
      <c r="U40" s="710" t="str">
        <f>IF(C26&lt;65,(IF(AND(7700000&lt;=F26,F26&lt;10000000),ROUNDDOWN(F26*0.95-1455000,0),"")),"")</f>
        <v/>
      </c>
      <c r="V40" s="711" t="str">
        <f>IF(C27&lt;65,(IF(AND(7700000&lt;=F27,F27&lt;10000000),ROUNDDOWN(F27*0.95-1455000,0),"")),"")</f>
        <v/>
      </c>
      <c r="X40" s="760"/>
      <c r="Y40" s="718" t="s">
        <v>514</v>
      </c>
      <c r="Z40" s="761">
        <v>0.95</v>
      </c>
      <c r="AA40" s="711">
        <v>1455000</v>
      </c>
    </row>
    <row r="41" spans="2:27" ht="13.5" customHeight="1" thickBot="1">
      <c r="B41" s="879"/>
      <c r="C41" s="880"/>
      <c r="D41" s="881"/>
      <c r="E41" s="882"/>
      <c r="F41" s="882"/>
      <c r="G41" s="763" t="s">
        <v>6</v>
      </c>
      <c r="O41" s="885"/>
      <c r="P41" s="732" t="str">
        <f>IF(C21&lt;65,IF(F21&gt;=10000000,F21-1955000,""),"")</f>
        <v/>
      </c>
      <c r="Q41" s="733" t="str">
        <f>IF(C22&lt;65,IF(F22&gt;=10000000,F22-1955000,""),"")</f>
        <v/>
      </c>
      <c r="R41" s="733" t="str">
        <f>IF(C23&lt;65,IF(F23&gt;=10000000,F23-1955000,""),"")</f>
        <v/>
      </c>
      <c r="S41" s="733" t="str">
        <f>IF(C24&lt;65,IF(F24&gt;=10000000,F24-1955000,""),"")</f>
        <v/>
      </c>
      <c r="T41" s="733" t="str">
        <f>IF(C25&lt;65,IF(F25&gt;=10000000,F25-1955000,""),"")</f>
        <v/>
      </c>
      <c r="U41" s="733" t="str">
        <f>IF(C26&lt;65,IF(F26&gt;=10000000,F26-1955000,""),"")</f>
        <v/>
      </c>
      <c r="V41" s="734" t="str">
        <f>IF(C27&lt;65,IF(F27&gt;=10000000,F27-1955000,""),"")</f>
        <v/>
      </c>
      <c r="X41" s="764"/>
      <c r="Y41" s="765" t="s">
        <v>515</v>
      </c>
      <c r="Z41" s="766">
        <v>1</v>
      </c>
      <c r="AA41" s="767">
        <v>1955000</v>
      </c>
    </row>
    <row r="42" spans="2:27" ht="16.5" customHeight="1">
      <c r="O42" s="892" t="s">
        <v>516</v>
      </c>
      <c r="P42" s="754" t="str">
        <f>IF(C21&gt;=65,(IF(F21&lt;=1100000,0,"")),"")</f>
        <v/>
      </c>
      <c r="Q42" s="755" t="str">
        <f>IF(C22&gt;=65,(IF(F22&lt;=1100000,0,"")),"")</f>
        <v/>
      </c>
      <c r="R42" s="755" t="str">
        <f>IF(C23&gt;=65,(IF(F23&lt;=1100000,0,"")),"")</f>
        <v/>
      </c>
      <c r="S42" s="755" t="str">
        <f>IF(C24&gt;=65,(IF(F24&lt;=1100000,0,"")),"")</f>
        <v/>
      </c>
      <c r="T42" s="755" t="str">
        <f>IF(C25&gt;=65,(IF(F25&lt;=1100000,0,"")),"")</f>
        <v/>
      </c>
      <c r="U42" s="755" t="str">
        <f>IF(C26&gt;=65,(IF(F26&lt;=1100000,0,"")),"")</f>
        <v/>
      </c>
      <c r="V42" s="756" t="str">
        <f>IF(C27&gt;=65,(IF(F27&lt;=1100000,0,"")),"")</f>
        <v/>
      </c>
      <c r="X42" s="895" t="s">
        <v>516</v>
      </c>
      <c r="Y42" s="886" t="s">
        <v>517</v>
      </c>
      <c r="Z42" s="888">
        <v>1</v>
      </c>
      <c r="AA42" s="890">
        <v>1100000</v>
      </c>
    </row>
    <row r="43" spans="2:27">
      <c r="O43" s="893"/>
      <c r="P43" s="709" t="str">
        <f>IF(C21&gt;=65,(IF(AND(F21&lt;3300000,F21&gt;1100000),F21-1100000,"")),"")</f>
        <v/>
      </c>
      <c r="Q43" s="710" t="str">
        <f>IF(C22&gt;=65,(IF(AND(F22&lt;3300000,F22&gt;1100000),F22-1100000,"")),"")</f>
        <v/>
      </c>
      <c r="R43" s="710" t="str">
        <f>IF(C23&gt;=65,(IF(AND(F23&lt;3300000,F23&gt;1100000),F23-1100000,"")),"")</f>
        <v/>
      </c>
      <c r="S43" s="710" t="str">
        <f>IF(C24&gt;=65,(IF(AND(F24&lt;3300000,F24&gt;1100000),F24-1100000,"")),"")</f>
        <v/>
      </c>
      <c r="T43" s="710" t="str">
        <f>IF(C25&gt;=65,(IF(AND(F25&lt;3300000,F25&gt;1100000),F25-1100000,"")),"")</f>
        <v/>
      </c>
      <c r="U43" s="710" t="str">
        <f>IF(C26&gt;=65,(IF(AND(F26&lt;3300000,F26&gt;1100000),F26-1100000,"")),"")</f>
        <v/>
      </c>
      <c r="V43" s="711" t="str">
        <f>IF(C27&gt;=65,(IF(AND(F27&lt;3300000,F27&gt;1100000),F27-1100000,"")),"")</f>
        <v/>
      </c>
      <c r="X43" s="896"/>
      <c r="Y43" s="887"/>
      <c r="Z43" s="889"/>
      <c r="AA43" s="891"/>
    </row>
    <row r="44" spans="2:27" ht="14.25" customHeight="1">
      <c r="B44" s="768"/>
      <c r="C44" s="768"/>
      <c r="D44" s="768"/>
      <c r="E44" s="768"/>
      <c r="F44" s="768"/>
      <c r="G44" s="768"/>
      <c r="H44" s="768"/>
      <c r="I44" s="768"/>
      <c r="J44" s="768"/>
      <c r="K44" s="768"/>
      <c r="L44" s="768"/>
      <c r="O44" s="893"/>
      <c r="P44" s="709" t="str">
        <f>IF(C21&gt;=65,(IF(AND(3300000&lt;=F21,F21&lt;4100000),ROUNDDOWN(F21*0.75-275000,0),"")),"")</f>
        <v/>
      </c>
      <c r="Q44" s="710" t="str">
        <f>IF(C22&gt;=65,(IF(AND(3300000&lt;=F22,F22&lt;4100000),ROUNDDOWN(F22*0.75-275000,0),"")),"")</f>
        <v/>
      </c>
      <c r="R44" s="710" t="str">
        <f>IF(C23&gt;=65,(IF(AND(3300000&lt;=F23,F23&lt;4100000),ROUNDDOWN(F23*0.75-275000,0),"")),"")</f>
        <v/>
      </c>
      <c r="S44" s="710" t="str">
        <f>IF(C24&gt;=65,(IF(AND(3300000&lt;=F24,F24&lt;4100000),ROUNDDOWN(F24*0.75-275000,0),"")),"")</f>
        <v/>
      </c>
      <c r="T44" s="710" t="str">
        <f>IF(C25&gt;=65,(IF(AND(3300000&lt;=F25,F25&lt;4100000),ROUNDDOWN(F25*0.75-275000,0),"")),"")</f>
        <v/>
      </c>
      <c r="U44" s="710" t="str">
        <f>IF(C26&gt;=65,(IF(AND(3300000&lt;=F26,F26&lt;4100000),ROUNDDOWN(F26*0.75-275000,0),"")),"")</f>
        <v/>
      </c>
      <c r="V44" s="711" t="str">
        <f>IF(C27&gt;=65,(IF(AND(3300000&lt;=F27,F27&lt;4100000),ROUNDDOWN(F27*0.75-275000,0),"")),"")</f>
        <v/>
      </c>
      <c r="X44" s="896"/>
      <c r="Y44" s="718" t="s">
        <v>518</v>
      </c>
      <c r="Z44" s="761">
        <v>0.75</v>
      </c>
      <c r="AA44" s="711">
        <v>275000</v>
      </c>
    </row>
    <row r="45" spans="2:27" ht="14.25" customHeight="1">
      <c r="B45" s="768"/>
      <c r="C45" s="768"/>
      <c r="D45" s="768"/>
      <c r="E45" s="768"/>
      <c r="F45" s="768"/>
      <c r="G45" s="768"/>
      <c r="H45" s="768"/>
      <c r="I45" s="768"/>
      <c r="J45" s="768"/>
      <c r="K45" s="768"/>
      <c r="L45" s="768"/>
      <c r="O45" s="893"/>
      <c r="P45" s="709" t="str">
        <f>IF(C21&gt;=65,(IF(AND(4100000&lt;=F21,F21&lt;7700000),ROUNDDOWN(F21*0.85-685000,0),"")),"")</f>
        <v/>
      </c>
      <c r="Q45" s="710" t="str">
        <f>IF(C22&gt;=65,(IF(AND(4100000&lt;=F22,F22&lt;7700000),ROUNDDOWN(F22*0.85-685000,0),"")),"")</f>
        <v/>
      </c>
      <c r="R45" s="710" t="str">
        <f>IF(C23&gt;=65,(IF(AND(4100000&lt;=F23,F23&lt;7700000),ROUNDDOWN(F23*0.85-685000,0),"")),"")</f>
        <v/>
      </c>
      <c r="S45" s="710" t="str">
        <f>IF(C24&gt;=65,(IF(AND(4100000&lt;=F24,F24&lt;7700000),ROUNDDOWN(F24*0.85-685000,0),"")),"")</f>
        <v/>
      </c>
      <c r="T45" s="710" t="str">
        <f>IF(C25&gt;=65,(IF(AND(4100000&lt;=F25,F25&lt;7700000),ROUNDDOWN(F25*0.85-685000,0),"")),"")</f>
        <v/>
      </c>
      <c r="U45" s="710" t="str">
        <f>IF(C26&gt;=65,(IF(AND(4100000&lt;=F26,F26&lt;7700000),ROUNDDOWN(F26*0.85-685000,0),"")),"")</f>
        <v/>
      </c>
      <c r="V45" s="711" t="str">
        <f>IF(C27&gt;=65,(IF(AND(4100000&lt;=F27,F27&lt;7700000),ROUNDDOWN(F27*0.85-685000,0),"")),"")</f>
        <v/>
      </c>
      <c r="X45" s="896"/>
      <c r="Y45" s="718" t="s">
        <v>513</v>
      </c>
      <c r="Z45" s="761">
        <v>0.85</v>
      </c>
      <c r="AA45" s="711">
        <v>685000</v>
      </c>
    </row>
    <row r="46" spans="2:27" ht="14.25" customHeight="1">
      <c r="B46" s="768"/>
      <c r="C46" s="768"/>
      <c r="D46" s="768"/>
      <c r="E46" s="768"/>
      <c r="F46" s="768"/>
      <c r="G46" s="768"/>
      <c r="H46" s="768"/>
      <c r="I46" s="768"/>
      <c r="J46" s="768"/>
      <c r="K46" s="768"/>
      <c r="L46" s="768"/>
      <c r="O46" s="893"/>
      <c r="P46" s="709" t="str">
        <f>IF(C21&gt;=65,(IF(AND(7700000&lt;=F21,F21&lt;10000000),ROUNDDOWN(F21*0.95-1455000,0),"")),"")</f>
        <v/>
      </c>
      <c r="Q46" s="710" t="str">
        <f>IF(C22&gt;=65,(IF(AND(7700000&lt;=F22,F22&lt;10000000),ROUNDDOWN(F22*0.95-1455000,0),"")),"")</f>
        <v/>
      </c>
      <c r="R46" s="710" t="str">
        <f>IF(C23&gt;=65,(IF(AND(7700000&lt;=F23,F23&lt;10000000),ROUNDDOWN(F23*0.95-1455000,0),"")),"")</f>
        <v/>
      </c>
      <c r="S46" s="710" t="str">
        <f>IF(C24&gt;=65,(IF(AND(7700000&lt;=F24,F24&lt;10000000),ROUNDDOWN(F24*0.95-1455000,0),"")),"")</f>
        <v/>
      </c>
      <c r="T46" s="710" t="str">
        <f>IF(C25&gt;=65,(IF(AND(7700000&lt;=F25,F25&lt;10000000),ROUNDDOWN(F25*0.95-1455000,0),"")),"")</f>
        <v/>
      </c>
      <c r="U46" s="710" t="str">
        <f>IF(C26&gt;=65,(IF(AND(7700000&lt;=F26,F26&lt;10000000),ROUNDDOWN(F26*0.95-1455000,0),"")),"")</f>
        <v/>
      </c>
      <c r="V46" s="711" t="str">
        <f>IF(C27&gt;=65,(IF(AND(7700000&lt;=F27,F27&lt;10000000),ROUNDDOWN(F27*0.95-1455000,0),"")),"")</f>
        <v/>
      </c>
      <c r="X46" s="896"/>
      <c r="Y46" s="718" t="s">
        <v>514</v>
      </c>
      <c r="Z46" s="761">
        <v>0.95</v>
      </c>
      <c r="AA46" s="711">
        <v>1455000</v>
      </c>
    </row>
    <row r="47" spans="2:27" ht="14.25" customHeight="1">
      <c r="B47" s="768"/>
      <c r="C47" s="768"/>
      <c r="D47" s="768"/>
      <c r="E47" s="768"/>
      <c r="F47" s="768"/>
      <c r="G47" s="768"/>
      <c r="H47" s="768"/>
      <c r="I47" s="768"/>
      <c r="J47" s="768"/>
      <c r="K47" s="768"/>
      <c r="L47" s="768"/>
      <c r="O47" s="894"/>
      <c r="P47" s="732" t="str">
        <f>IF(C21&gt;=65,IF(F21&gt;=10000000,F21-1955000,""),"")</f>
        <v/>
      </c>
      <c r="Q47" s="733" t="str">
        <f>IF(C22&gt;=65,IF(F22&gt;=10000000,F22-1955000,""),"")</f>
        <v/>
      </c>
      <c r="R47" s="733" t="str">
        <f>IF(C23&gt;=65,IF(F23&gt;=10000000,F23-1955000,""),"")</f>
        <v/>
      </c>
      <c r="S47" s="733" t="str">
        <f>IF(C24&gt;=65,IF(F24&gt;=10000000,F24-1955000,""),"")</f>
        <v/>
      </c>
      <c r="T47" s="733" t="str">
        <f>IF(C25&gt;=65,IF(F25&gt;=10000000,F25-1955000,""),"")</f>
        <v/>
      </c>
      <c r="U47" s="733" t="str">
        <f>IF(C26&gt;=65,IF(F26&gt;=10000000,F26-1955000,""),"")</f>
        <v/>
      </c>
      <c r="V47" s="734" t="str">
        <f>IF(C27&gt;=65,IF(F27&gt;=10000000,F27-1955000,""),"")</f>
        <v/>
      </c>
      <c r="X47" s="897"/>
      <c r="Y47" s="735" t="s">
        <v>515</v>
      </c>
      <c r="Z47" s="769">
        <v>1</v>
      </c>
      <c r="AA47" s="734">
        <v>1955000</v>
      </c>
    </row>
    <row r="48" spans="2:27" ht="14.25" customHeight="1">
      <c r="B48" s="768"/>
      <c r="C48" s="768"/>
      <c r="D48" s="768"/>
      <c r="E48" s="768"/>
      <c r="F48" s="768"/>
      <c r="G48" s="768"/>
      <c r="H48" s="768"/>
      <c r="I48" s="768"/>
      <c r="J48" s="768"/>
      <c r="K48" s="768"/>
      <c r="L48" s="768"/>
      <c r="O48" s="770" t="s">
        <v>519</v>
      </c>
      <c r="P48" s="771">
        <f t="shared" ref="P48:V48" si="2">SUM(P36:P47)</f>
        <v>0</v>
      </c>
      <c r="Q48" s="772">
        <f t="shared" si="2"/>
        <v>0</v>
      </c>
      <c r="R48" s="772">
        <f t="shared" si="2"/>
        <v>0</v>
      </c>
      <c r="S48" s="772">
        <f t="shared" si="2"/>
        <v>0</v>
      </c>
      <c r="T48" s="772">
        <f t="shared" si="2"/>
        <v>0</v>
      </c>
      <c r="U48" s="772">
        <f t="shared" si="2"/>
        <v>0</v>
      </c>
      <c r="V48" s="773">
        <f t="shared" si="2"/>
        <v>0</v>
      </c>
    </row>
    <row r="49" spans="1:26" ht="14.25" customHeight="1">
      <c r="B49" s="768"/>
      <c r="C49" s="768"/>
      <c r="D49" s="768"/>
      <c r="E49" s="768"/>
      <c r="F49" s="768"/>
      <c r="G49" s="768"/>
      <c r="H49" s="768"/>
      <c r="I49" s="768"/>
      <c r="J49" s="768"/>
      <c r="K49" s="768"/>
      <c r="L49" s="768"/>
      <c r="O49" s="774" t="s">
        <v>520</v>
      </c>
      <c r="P49" s="775">
        <f>IF(AND(C21&gt;=65,P48&gt;0),IF(P48&lt;150000,0,P48-150000),P48)</f>
        <v>0</v>
      </c>
      <c r="Q49" s="776">
        <f>IF(AND(C22&gt;=65,Q48&gt;0),IF(Q48&lt;150000,0,Q48-150000),Q48)</f>
        <v>0</v>
      </c>
      <c r="R49" s="776">
        <f>IF(AND(C23&gt;=65,R48&gt;0),IF(R48&lt;150000,0,R48-150000),R48)</f>
        <v>0</v>
      </c>
      <c r="S49" s="776">
        <f>IF(AND(C24&gt;=65,S48&gt;0),IF(S48&lt;150000,0,S48-150000),S48)</f>
        <v>0</v>
      </c>
      <c r="T49" s="776">
        <f>IF(AND(C25&gt;=65,T48&gt;0),IF(T48&lt;150000,0,T48-150000),T48)</f>
        <v>0</v>
      </c>
      <c r="U49" s="776">
        <f>IF(AND(C26&gt;=65,U48&gt;0),IF(U48&lt;150000,0,U48-150000),U48)</f>
        <v>0</v>
      </c>
      <c r="V49" s="777">
        <f>IF(AND(C27&gt;=65,V48&gt;0),IF(V48&lt;150000,0,V48-150000),V48)</f>
        <v>0</v>
      </c>
    </row>
    <row r="50" spans="1:26" ht="14.25" customHeight="1">
      <c r="B50" s="768"/>
      <c r="C50" s="768"/>
      <c r="D50" s="768"/>
      <c r="E50" s="768"/>
      <c r="F50" s="768"/>
      <c r="G50" s="768"/>
      <c r="H50" s="768"/>
      <c r="I50" s="768"/>
      <c r="J50" s="768"/>
      <c r="K50" s="768"/>
      <c r="L50" s="768"/>
      <c r="O50" s="778"/>
      <c r="P50" s="779"/>
      <c r="Q50" s="779"/>
      <c r="R50" s="779"/>
      <c r="S50" s="779"/>
      <c r="T50" s="779"/>
      <c r="U50" s="779"/>
      <c r="V50" s="779"/>
    </row>
    <row r="51" spans="1:26" ht="14.25" customHeight="1">
      <c r="B51" s="768"/>
      <c r="C51" s="768"/>
      <c r="D51" s="768"/>
      <c r="E51" s="768"/>
      <c r="F51" s="768"/>
      <c r="G51" s="768"/>
      <c r="H51" s="768"/>
      <c r="I51" s="768"/>
      <c r="J51" s="768"/>
      <c r="K51" s="768"/>
      <c r="L51" s="768"/>
      <c r="O51" s="780" t="s">
        <v>521</v>
      </c>
      <c r="P51" s="781">
        <f>IF(P31&gt;0,1,0)</f>
        <v>0</v>
      </c>
      <c r="Q51" s="782">
        <f t="shared" ref="Q51:V51" si="3">IF(Q31&gt;0,1,0)</f>
        <v>0</v>
      </c>
      <c r="R51" s="782">
        <f t="shared" si="3"/>
        <v>0</v>
      </c>
      <c r="S51" s="782">
        <f t="shared" si="3"/>
        <v>0</v>
      </c>
      <c r="T51" s="782">
        <f t="shared" si="3"/>
        <v>0</v>
      </c>
      <c r="U51" s="782">
        <f t="shared" si="3"/>
        <v>0</v>
      </c>
      <c r="V51" s="783">
        <f t="shared" si="3"/>
        <v>0</v>
      </c>
    </row>
    <row r="52" spans="1:26" ht="14.25" customHeight="1">
      <c r="O52" s="784" t="s">
        <v>522</v>
      </c>
      <c r="P52" s="709">
        <f>IF(P48&gt;0,1,0)</f>
        <v>0</v>
      </c>
      <c r="Q52" s="710">
        <f t="shared" ref="Q52:V53" si="4">IF(Q48&gt;0,1,0)</f>
        <v>0</v>
      </c>
      <c r="R52" s="710">
        <f t="shared" si="4"/>
        <v>0</v>
      </c>
      <c r="S52" s="710">
        <f t="shared" si="4"/>
        <v>0</v>
      </c>
      <c r="T52" s="710">
        <f t="shared" si="4"/>
        <v>0</v>
      </c>
      <c r="U52" s="710">
        <f t="shared" si="4"/>
        <v>0</v>
      </c>
      <c r="V52" s="711">
        <f t="shared" si="4"/>
        <v>0</v>
      </c>
      <c r="Z52" s="684">
        <v>0</v>
      </c>
    </row>
    <row r="53" spans="1:26">
      <c r="O53" s="784" t="s">
        <v>523</v>
      </c>
      <c r="P53" s="709">
        <f>IF(P49&gt;0,1,0)</f>
        <v>0</v>
      </c>
      <c r="Q53" s="710">
        <f t="shared" si="4"/>
        <v>0</v>
      </c>
      <c r="R53" s="710">
        <f t="shared" si="4"/>
        <v>0</v>
      </c>
      <c r="S53" s="710">
        <f t="shared" si="4"/>
        <v>0</v>
      </c>
      <c r="T53" s="710">
        <f t="shared" si="4"/>
        <v>0</v>
      </c>
      <c r="U53" s="710">
        <f t="shared" si="4"/>
        <v>0</v>
      </c>
      <c r="V53" s="711">
        <f t="shared" si="4"/>
        <v>0</v>
      </c>
    </row>
    <row r="54" spans="1:26">
      <c r="B54" s="785"/>
      <c r="N54" s="779"/>
      <c r="O54" s="784" t="s">
        <v>524</v>
      </c>
      <c r="P54" s="709">
        <f>P51+P52</f>
        <v>0</v>
      </c>
      <c r="Q54" s="710">
        <f t="shared" ref="Q54:V54" si="5">Q51+Q52</f>
        <v>0</v>
      </c>
      <c r="R54" s="710">
        <f t="shared" si="5"/>
        <v>0</v>
      </c>
      <c r="S54" s="710">
        <f t="shared" si="5"/>
        <v>0</v>
      </c>
      <c r="T54" s="710">
        <f t="shared" si="5"/>
        <v>0</v>
      </c>
      <c r="U54" s="710">
        <f t="shared" si="5"/>
        <v>0</v>
      </c>
      <c r="V54" s="711">
        <f t="shared" si="5"/>
        <v>0</v>
      </c>
      <c r="W54" s="779"/>
    </row>
    <row r="55" spans="1:26">
      <c r="O55" s="786" t="s">
        <v>525</v>
      </c>
      <c r="P55" s="732">
        <f t="shared" ref="P55:V55" si="6">P51+P53</f>
        <v>0</v>
      </c>
      <c r="Q55" s="733">
        <f t="shared" si="6"/>
        <v>0</v>
      </c>
      <c r="R55" s="733">
        <f t="shared" si="6"/>
        <v>0</v>
      </c>
      <c r="S55" s="733">
        <f t="shared" si="6"/>
        <v>0</v>
      </c>
      <c r="T55" s="733">
        <f t="shared" si="6"/>
        <v>0</v>
      </c>
      <c r="U55" s="733">
        <f t="shared" si="6"/>
        <v>0</v>
      </c>
      <c r="V55" s="734">
        <f t="shared" si="6"/>
        <v>0</v>
      </c>
    </row>
    <row r="56" spans="1:26">
      <c r="O56" s="787"/>
      <c r="P56" s="788"/>
      <c r="Q56" s="788"/>
      <c r="R56" s="788"/>
      <c r="S56" s="788"/>
      <c r="T56" s="788"/>
      <c r="U56" s="788"/>
      <c r="V56" s="788"/>
    </row>
    <row r="57" spans="1:26" ht="17.25">
      <c r="B57" s="685" t="s">
        <v>526</v>
      </c>
      <c r="O57" s="780" t="s">
        <v>527</v>
      </c>
      <c r="P57" s="789">
        <f>P32+P48+H21</f>
        <v>0</v>
      </c>
      <c r="Q57" s="790">
        <f>Q32+Q48+H22</f>
        <v>0</v>
      </c>
      <c r="R57" s="790">
        <f>R32+R48+H23</f>
        <v>0</v>
      </c>
      <c r="S57" s="790">
        <f>S32+S48+H24</f>
        <v>0</v>
      </c>
      <c r="T57" s="790">
        <f>T32+T48+H25</f>
        <v>0</v>
      </c>
      <c r="U57" s="790">
        <f>U32+U48+H26</f>
        <v>0</v>
      </c>
      <c r="V57" s="791">
        <f>V32+V48+H27</f>
        <v>0</v>
      </c>
    </row>
    <row r="58" spans="1:26">
      <c r="O58" s="786" t="s">
        <v>528</v>
      </c>
      <c r="P58" s="732">
        <f>IF(P48=P49,MAX(P57,0),IF(AND(P54=2,P48&gt;=250000),MAX(P57-150000,0),IF(AND(P54=2,P48&gt;0,P48&lt;250000),MAX(P31+H21,0),IF(AND(P54=1,P48&gt;=150000),MAX(P57-150000,0),IF(AND(P54=1,P48&gt;0,P48&lt;150000),MAX(P31+H21,0),0)))))</f>
        <v>0</v>
      </c>
      <c r="Q58" s="733">
        <f>IF(Q48=Q49,MAX(Q57,0),IF(AND(Q54=2,Q48&gt;=250000),MAX(Q57-150000,0),IF(AND(Q54=2,Q48&gt;0,Q48&lt;250000),MAX(Q31+H22,0),IF(AND(Q54=1,Q48&gt;=150000),MAX(Q57-150000,0),IF(AND(Q54=1,Q48&gt;0,Q48&lt;150000),MAX(Q31+H22,0),0)))))</f>
        <v>0</v>
      </c>
      <c r="R58" s="733">
        <f>IF(R48=R49,MAX(R57,0),IF(AND(R54=2,R48&gt;=250000),MAX(R57-150000,0),IF(AND(R54=2,R48&gt;0,R48&lt;250000),MAX(R31+H23,0),IF(AND(R54=1,R48&gt;=150000),MAX(R57-150000,0),IF(AND(R54=1,R48&gt;0,R48&lt;150000),MAX(R31+H23,0),0)))))</f>
        <v>0</v>
      </c>
      <c r="S58" s="733">
        <f>IF(S48=S49,MAX(S57,0),IF(AND(S54=2,S48&gt;=250000),MAX(S57-150000,0),IF(AND(S54=2,S48&gt;0,S48&lt;250000),MAX(S31+H24,0),IF(AND(S54=1,S48&gt;=150000),MAX(S57-150000,0),IF(AND(S54=1,S48&gt;0,S48&lt;150000),MAX(S31+H24,0),0)))))</f>
        <v>0</v>
      </c>
      <c r="T58" s="733">
        <f>IF(T48=T49,MAX(T57,0),IF(AND(T54=2,T48&gt;=250000),MAX(T57-150000,0),IF(AND(T54=2,T48&gt;0,T48&lt;250000),MAX(T31+H25,0),IF(AND(T54=1,T48&gt;=150000),MAX(T57-150000,0),IF(AND(T54=1,T48&gt;0,T48&lt;150000),MAX(T31+H25,0),0)))))</f>
        <v>0</v>
      </c>
      <c r="U58" s="733">
        <f>IF(U48=U49,MAX(U57,0),IF(AND(U54=2,U48&gt;=250000),MAX(U57-150000,0),IF(AND(U54=2,U48&gt;0,U48&lt;250000),MAX(U31+H26,0),IF(AND(U54=1,U48&gt;=150000),MAX(U57-150000,0),IF(AND(U54=1,U48&gt;0,U48&lt;150000),MAX(U31+H26,0),0)))))</f>
        <v>0</v>
      </c>
      <c r="V58" s="734">
        <f>IF(V48=V49,MAX(V57,0),IF(AND(V54=2,V48&gt;=250000),MAX(V57-150000,0),IF(AND(V54=2,V48&gt;0,V48&lt;250000),MAX(V31+H27,0),IF(AND(V54=1,V48&gt;=150000),MAX(V57-150000,0),IF(AND(V54=1,V48&gt;0,V48&lt;150000),MAX(V31+H27,0),0)))))</f>
        <v>0</v>
      </c>
    </row>
    <row r="59" spans="1:26" ht="17.25" customHeight="1">
      <c r="A59" s="792" t="s">
        <v>529</v>
      </c>
      <c r="B59" s="688" t="s">
        <v>530</v>
      </c>
      <c r="G59" s="792" t="s">
        <v>529</v>
      </c>
      <c r="H59" s="688" t="s">
        <v>531</v>
      </c>
      <c r="I59" s="688"/>
    </row>
    <row r="60" spans="1:26" ht="14.25" customHeight="1">
      <c r="O60" s="684" t="s">
        <v>532</v>
      </c>
    </row>
    <row r="61" spans="1:26" ht="14.25" customHeight="1">
      <c r="O61" s="793" t="s">
        <v>533</v>
      </c>
      <c r="P61" s="794" t="s">
        <v>534</v>
      </c>
      <c r="Q61" s="795" t="s">
        <v>535</v>
      </c>
      <c r="R61" s="796" t="s">
        <v>536</v>
      </c>
      <c r="T61" s="797" t="s">
        <v>537</v>
      </c>
      <c r="U61" s="798" t="s">
        <v>538</v>
      </c>
      <c r="V61" s="799" t="s">
        <v>539</v>
      </c>
    </row>
    <row r="62" spans="1:26" ht="14.25" customHeight="1">
      <c r="O62" s="732">
        <f>COUNT(C21:C27)</f>
        <v>0</v>
      </c>
      <c r="P62" s="733">
        <f>IF(D15=1,O62,O62-1)</f>
        <v>0</v>
      </c>
      <c r="Q62" s="800">
        <f>COUNTIF(P55:V55,"&gt;0")</f>
        <v>0</v>
      </c>
      <c r="R62" s="734">
        <f>SUM(P58:V58)</f>
        <v>0</v>
      </c>
      <c r="T62" s="732">
        <f>IF(Q62=0,430000,430000+100000*(Q62-1))</f>
        <v>430000</v>
      </c>
      <c r="U62" s="733">
        <f>IF(Q62=0,430000+U63*P62,430000+U63*P62+100000*(Q62-1))</f>
        <v>430000</v>
      </c>
      <c r="V62" s="734">
        <f>IF(Q62=0,430000+V63*P62,430000+V63*P62+100000*(Q62-1))</f>
        <v>430000</v>
      </c>
    </row>
    <row r="63" spans="1:26" ht="14.25" customHeight="1">
      <c r="U63" s="811">
        <v>310000</v>
      </c>
      <c r="V63" s="811">
        <v>570000</v>
      </c>
      <c r="W63" s="811" t="s">
        <v>559</v>
      </c>
    </row>
    <row r="64" spans="1:26" ht="14.25" customHeight="1" thickBot="1"/>
    <row r="65" spans="1:16" ht="14.25" customHeight="1" thickBot="1">
      <c r="O65" s="801">
        <f>IF(R62&lt;=T62,7,IF(R62&lt;=U62,5,IF(R62&lt;=V62,2,0)))</f>
        <v>7</v>
      </c>
      <c r="P65" s="684" t="s">
        <v>540</v>
      </c>
    </row>
    <row r="66" spans="1:16" ht="14.25" customHeight="1"/>
    <row r="67" spans="1:16" ht="14.25" customHeight="1"/>
    <row r="68" spans="1:16" ht="14.25" customHeight="1"/>
    <row r="69" spans="1:16" ht="14.25" customHeight="1"/>
    <row r="70" spans="1:16" ht="14.25" customHeight="1"/>
    <row r="71" spans="1:16" ht="14.25" customHeight="1">
      <c r="O71" s="698"/>
    </row>
    <row r="72" spans="1:16" ht="14.25" customHeight="1">
      <c r="O72" s="698"/>
    </row>
    <row r="73" spans="1:16" ht="14.25" customHeight="1">
      <c r="O73" s="698"/>
    </row>
    <row r="74" spans="1:16" ht="14.25" customHeight="1"/>
    <row r="75" spans="1:16" ht="14.25" customHeight="1">
      <c r="A75" s="792" t="s">
        <v>541</v>
      </c>
      <c r="B75" s="688" t="s">
        <v>542</v>
      </c>
    </row>
    <row r="76" spans="1:16" ht="14.25" customHeight="1"/>
    <row r="77" spans="1:16" ht="14.25" customHeight="1">
      <c r="O77" s="698"/>
    </row>
    <row r="78" spans="1:16" ht="14.25" customHeight="1"/>
    <row r="79" spans="1:16" ht="14.25" customHeight="1">
      <c r="O79" s="698"/>
    </row>
    <row r="80" spans="1:16" ht="14.25" customHeight="1"/>
    <row r="81" spans="1:27" ht="14.25" customHeight="1"/>
    <row r="82" spans="1:27" ht="14.25" customHeight="1"/>
    <row r="83" spans="1:27" ht="14.25" customHeight="1"/>
    <row r="84" spans="1:27" ht="14.25" customHeight="1"/>
    <row r="85" spans="1:27" ht="14.25" customHeight="1"/>
    <row r="86" spans="1:27" ht="14.25" customHeight="1"/>
    <row r="87" spans="1:27" ht="14.25" customHeight="1"/>
    <row r="88" spans="1:27" ht="14.25" customHeight="1"/>
    <row r="89" spans="1:27" ht="14.25" customHeight="1"/>
    <row r="90" spans="1:27" ht="14.25" customHeight="1">
      <c r="X90" s="802"/>
      <c r="Y90" s="802"/>
      <c r="Z90" s="802"/>
      <c r="AA90" s="802"/>
    </row>
    <row r="91" spans="1:27" s="802" customFormat="1" ht="14.25" customHeight="1">
      <c r="A91" s="684"/>
      <c r="B91" s="803"/>
      <c r="C91" s="684"/>
      <c r="D91" s="684"/>
      <c r="E91" s="684"/>
      <c r="F91" s="684"/>
      <c r="G91" s="684"/>
      <c r="H91" s="684"/>
      <c r="I91" s="684"/>
      <c r="J91" s="684"/>
      <c r="K91" s="684"/>
      <c r="L91" s="684"/>
      <c r="M91" s="684"/>
    </row>
    <row r="92" spans="1:27" s="802" customFormat="1" ht="14.25" customHeight="1">
      <c r="A92" s="804"/>
    </row>
    <row r="93" spans="1:27" s="802" customFormat="1" ht="14.25" customHeight="1">
      <c r="X93" s="684"/>
      <c r="Y93" s="684"/>
      <c r="Z93" s="684"/>
      <c r="AA93" s="684"/>
    </row>
    <row r="94" spans="1:27" ht="14.25" customHeight="1">
      <c r="A94" s="802"/>
      <c r="B94" s="802"/>
      <c r="C94" s="802"/>
      <c r="D94" s="802"/>
      <c r="E94" s="802"/>
      <c r="F94" s="802"/>
      <c r="G94" s="802"/>
      <c r="H94" s="802"/>
      <c r="I94" s="802"/>
      <c r="J94" s="802"/>
      <c r="K94" s="802"/>
      <c r="L94" s="802"/>
      <c r="M94" s="802"/>
    </row>
    <row r="95" spans="1:27" ht="14.25" customHeight="1">
      <c r="B95" s="698"/>
      <c r="X95" s="802"/>
      <c r="Y95" s="802"/>
      <c r="Z95" s="802"/>
      <c r="AA95" s="802"/>
    </row>
    <row r="96" spans="1:27" s="802" customFormat="1" ht="14.25" customHeight="1">
      <c r="A96" s="684"/>
      <c r="B96" s="803"/>
      <c r="C96" s="684"/>
      <c r="D96" s="684"/>
      <c r="E96" s="684"/>
      <c r="F96" s="684"/>
      <c r="G96" s="684"/>
      <c r="H96" s="684"/>
      <c r="I96" s="684"/>
      <c r="J96" s="684"/>
      <c r="K96" s="684"/>
      <c r="L96" s="684"/>
      <c r="M96" s="684"/>
    </row>
    <row r="97" spans="1:27" s="802" customFormat="1" ht="14.25" customHeight="1">
      <c r="B97" s="805"/>
    </row>
    <row r="98" spans="1:27" s="802" customFormat="1" ht="14.25" customHeight="1"/>
    <row r="99" spans="1:27" s="802" customFormat="1" ht="14.25" customHeight="1">
      <c r="X99" s="684"/>
      <c r="Y99" s="684"/>
      <c r="Z99" s="684"/>
      <c r="AA99" s="684"/>
    </row>
    <row r="100" spans="1:27" ht="14.25" customHeight="1">
      <c r="A100" s="802"/>
      <c r="B100" s="802"/>
      <c r="C100" s="802"/>
      <c r="D100" s="802"/>
      <c r="E100" s="802"/>
      <c r="F100" s="802"/>
      <c r="G100" s="802"/>
      <c r="H100" s="802"/>
      <c r="I100" s="802"/>
      <c r="J100" s="802"/>
      <c r="K100" s="802"/>
      <c r="L100" s="802"/>
      <c r="M100" s="802"/>
    </row>
    <row r="101" spans="1:27" ht="14.25" customHeight="1">
      <c r="X101" s="802"/>
      <c r="Y101" s="802"/>
      <c r="Z101" s="802"/>
      <c r="AA101" s="802"/>
    </row>
    <row r="102" spans="1:27" s="802" customFormat="1" ht="14.25" customHeight="1">
      <c r="A102" s="684"/>
      <c r="B102" s="803"/>
      <c r="C102" s="684"/>
      <c r="D102" s="684"/>
      <c r="E102" s="684"/>
      <c r="F102" s="684"/>
      <c r="G102" s="684"/>
      <c r="H102" s="684"/>
      <c r="I102" s="684"/>
      <c r="J102" s="684"/>
      <c r="K102" s="684"/>
      <c r="L102" s="684"/>
      <c r="M102" s="684"/>
    </row>
    <row r="103" spans="1:27" s="802" customFormat="1" ht="14.25" customHeight="1"/>
    <row r="104" spans="1:27" s="802" customFormat="1" ht="14.25" customHeight="1">
      <c r="X104" s="684"/>
      <c r="Y104" s="684"/>
      <c r="Z104" s="684"/>
      <c r="AA104" s="684"/>
    </row>
    <row r="105" spans="1:27" ht="14.25" customHeight="1">
      <c r="A105" s="802"/>
      <c r="B105" s="802"/>
      <c r="C105" s="802"/>
      <c r="D105" s="802"/>
      <c r="E105" s="802"/>
      <c r="F105" s="802"/>
      <c r="G105" s="802"/>
      <c r="H105" s="802"/>
      <c r="I105" s="802"/>
      <c r="J105" s="802"/>
      <c r="K105" s="802"/>
      <c r="L105" s="802"/>
      <c r="M105" s="802"/>
    </row>
    <row r="106" spans="1:27" ht="14.25" customHeight="1"/>
    <row r="107" spans="1:27" ht="16.5" customHeight="1"/>
    <row r="108" spans="1:27" ht="14.25" customHeight="1">
      <c r="B108" s="685"/>
      <c r="X108" s="802"/>
      <c r="Y108" s="802"/>
      <c r="Z108" s="802"/>
      <c r="AA108" s="802"/>
    </row>
    <row r="109" spans="1:27" s="802" customFormat="1" ht="14.25" customHeight="1">
      <c r="A109" s="684"/>
      <c r="B109" s="684"/>
      <c r="C109" s="684"/>
      <c r="D109" s="684"/>
      <c r="E109" s="684"/>
      <c r="F109" s="684"/>
      <c r="G109" s="684"/>
      <c r="H109" s="684"/>
      <c r="I109" s="684"/>
      <c r="J109" s="684"/>
      <c r="K109" s="684"/>
      <c r="L109" s="684"/>
      <c r="M109" s="684"/>
      <c r="X109" s="684"/>
      <c r="Y109" s="684"/>
      <c r="Z109" s="684"/>
      <c r="AA109" s="684"/>
    </row>
    <row r="110" spans="1:27" ht="14.25" customHeight="1">
      <c r="A110" s="802"/>
      <c r="B110" s="804"/>
      <c r="C110" s="802"/>
      <c r="D110" s="802"/>
      <c r="E110" s="802"/>
      <c r="F110" s="802"/>
      <c r="G110" s="802"/>
      <c r="H110" s="802"/>
      <c r="I110" s="802"/>
      <c r="J110" s="802"/>
      <c r="K110" s="802"/>
      <c r="L110" s="802"/>
      <c r="M110" s="802"/>
    </row>
    <row r="111" spans="1:27" ht="14.25" customHeight="1"/>
    <row r="112" spans="1:27" ht="14.25" customHeight="1"/>
    <row r="113" ht="14.25" hidden="1" customHeight="1"/>
    <row r="114" ht="14.25" hidden="1" customHeight="1"/>
    <row r="115" hidden="1"/>
    <row r="116" hidden="1"/>
    <row r="117" hidden="1"/>
    <row r="118" hidden="1"/>
    <row r="119" hidden="1"/>
    <row r="120" hidden="1"/>
    <row r="121" hidden="1"/>
    <row r="122" hidden="1"/>
    <row r="123" hidden="1"/>
    <row r="124" hidden="1"/>
    <row r="125" hidden="1"/>
    <row r="126" hidden="1"/>
    <row r="127" hidden="1"/>
    <row r="128" hidden="1"/>
    <row r="129" spans="3:4" hidden="1"/>
    <row r="130" spans="3:4" hidden="1"/>
    <row r="131" spans="3:4" hidden="1"/>
    <row r="132" spans="3:4" hidden="1"/>
    <row r="133" spans="3:4" hidden="1">
      <c r="C133" s="684" t="s">
        <v>543</v>
      </c>
    </row>
    <row r="134" spans="3:4" ht="15" hidden="1" thickTop="1">
      <c r="C134" s="690" t="s">
        <v>461</v>
      </c>
      <c r="D134" s="806">
        <v>1</v>
      </c>
    </row>
    <row r="135" spans="3:4" ht="15" hidden="1" thickBot="1">
      <c r="C135" s="692" t="s">
        <v>462</v>
      </c>
      <c r="D135" s="807"/>
    </row>
    <row r="136" spans="3:4" hidden="1"/>
  </sheetData>
  <sheetProtection algorithmName="SHA-512" hashValue="qaGU2JXW4fQJ0tdevvOTc5BD3niFTaWaXOulhJ8y/kW9blnwnkdTGOxq5Yi7aerBT4JDuU5ni3G/EMdW3FBzLA==" saltValue="Y4VLuF2Dd+HoiOdPCRKIsg==" spinCount="100000" sheet="1" selectLockedCells="1"/>
  <protectedRanges>
    <protectedRange sqref="C21:I27" name="範囲1"/>
  </protectedRanges>
  <mergeCells count="65">
    <mergeCell ref="O36:O41"/>
    <mergeCell ref="Y36:Y37"/>
    <mergeCell ref="Z36:Z37"/>
    <mergeCell ref="AA36:AA37"/>
    <mergeCell ref="O42:O47"/>
    <mergeCell ref="X42:X47"/>
    <mergeCell ref="Y42:Y43"/>
    <mergeCell ref="Z42:Z43"/>
    <mergeCell ref="AA42:AA43"/>
    <mergeCell ref="B38:C39"/>
    <mergeCell ref="D38:F39"/>
    <mergeCell ref="K38:L38"/>
    <mergeCell ref="B40:C41"/>
    <mergeCell ref="D40:F41"/>
    <mergeCell ref="B34:C35"/>
    <mergeCell ref="D34:F35"/>
    <mergeCell ref="I34:J37"/>
    <mergeCell ref="K34:K37"/>
    <mergeCell ref="L35:L36"/>
    <mergeCell ref="B36:C37"/>
    <mergeCell ref="D36:F37"/>
    <mergeCell ref="X29:X30"/>
    <mergeCell ref="B32:C33"/>
    <mergeCell ref="D32:F33"/>
    <mergeCell ref="I32:J33"/>
    <mergeCell ref="K32:L33"/>
    <mergeCell ref="Z24:AA24"/>
    <mergeCell ref="Z30:AA30"/>
    <mergeCell ref="D25:E25"/>
    <mergeCell ref="F25:G25"/>
    <mergeCell ref="H25:I25"/>
    <mergeCell ref="Z25:AA25"/>
    <mergeCell ref="D26:E26"/>
    <mergeCell ref="F26:G26"/>
    <mergeCell ref="H26:I26"/>
    <mergeCell ref="X26:X28"/>
    <mergeCell ref="D27:E27"/>
    <mergeCell ref="F27:G27"/>
    <mergeCell ref="H27:I27"/>
    <mergeCell ref="D28:E28"/>
    <mergeCell ref="F28:G28"/>
    <mergeCell ref="H28:I28"/>
    <mergeCell ref="Z20:AA20"/>
    <mergeCell ref="D21:E21"/>
    <mergeCell ref="F21:G21"/>
    <mergeCell ref="H21:I21"/>
    <mergeCell ref="D22:E22"/>
    <mergeCell ref="F22:G22"/>
    <mergeCell ref="H22:I22"/>
    <mergeCell ref="X22:X25"/>
    <mergeCell ref="Z22:AA22"/>
    <mergeCell ref="D23:E23"/>
    <mergeCell ref="F23:G23"/>
    <mergeCell ref="H23:I23"/>
    <mergeCell ref="Z23:AA23"/>
    <mergeCell ref="D24:E24"/>
    <mergeCell ref="F24:G24"/>
    <mergeCell ref="H24:I24"/>
    <mergeCell ref="A1:M1"/>
    <mergeCell ref="D19:E19"/>
    <mergeCell ref="F19:G19"/>
    <mergeCell ref="H19:I19"/>
    <mergeCell ref="D20:E20"/>
    <mergeCell ref="F20:G20"/>
    <mergeCell ref="H20:I20"/>
  </mergeCells>
  <phoneticPr fontId="2"/>
  <pageMargins left="0.23622047244094491" right="0.23622047244094491" top="0.74803149606299213" bottom="0.74803149606299213" header="0.31496062992125984" footer="0.31496062992125984"/>
  <pageSetup paperSize="9" scale="85" fitToHeight="0" orientation="portrait" r:id="rId1"/>
  <rowBreaks count="1" manualBreakCount="1">
    <brk id="53" max="2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98"/>
  <sheetViews>
    <sheetView showGridLines="0" showZeros="0" view="pageBreakPreview" zoomScale="85" zoomScaleNormal="75" zoomScaleSheetLayoutView="85" workbookViewId="0">
      <pane ySplit="11" topLeftCell="A12" activePane="bottomLeft" state="frozen"/>
      <selection activeCell="F46" sqref="F46:K46"/>
      <selection pane="bottomLeft" activeCell="F46" sqref="F46:K46"/>
    </sheetView>
  </sheetViews>
  <sheetFormatPr defaultColWidth="8.875" defaultRowHeight="17.25"/>
  <cols>
    <col min="1" max="1" width="6.25" style="3" customWidth="1"/>
    <col min="2" max="2" width="8.125" style="3" customWidth="1"/>
    <col min="3" max="3" width="4.125" style="3" customWidth="1"/>
    <col min="4" max="4" width="13" style="3" customWidth="1"/>
    <col min="5" max="5" width="7.25" style="3" customWidth="1"/>
    <col min="6" max="6" width="9.875" style="3" customWidth="1"/>
    <col min="7" max="8" width="4.5" style="3" customWidth="1"/>
    <col min="9" max="9" width="8.875" style="9" customWidth="1"/>
    <col min="10" max="10" width="2" style="3" customWidth="1"/>
    <col min="11" max="11" width="4.25" style="3" customWidth="1"/>
    <col min="12" max="12" width="5.5" style="3" customWidth="1"/>
    <col min="13" max="13" width="5" style="3" customWidth="1"/>
    <col min="14" max="14" width="4.875" style="3" customWidth="1"/>
    <col min="15" max="15" width="6.125" style="10" customWidth="1"/>
    <col min="16" max="16" width="4.75" style="10" customWidth="1"/>
    <col min="17" max="17" width="8.375" style="3" customWidth="1"/>
    <col min="18" max="18" width="3.25" style="3" customWidth="1"/>
    <col min="19" max="19" width="11.625" style="3" bestFit="1" customWidth="1"/>
    <col min="20" max="20" width="5.625" style="3" customWidth="1"/>
    <col min="21" max="21" width="15.375" style="3" customWidth="1"/>
    <col min="22" max="22" width="12.375" style="3" customWidth="1"/>
    <col min="23" max="23" width="15.75" style="3" customWidth="1"/>
    <col min="24" max="24" width="5.375" style="3" customWidth="1"/>
    <col min="25" max="26" width="12.375" style="3" customWidth="1"/>
    <col min="27" max="27" width="9.875" style="3" customWidth="1"/>
    <col min="28" max="28" width="9.125" style="3" customWidth="1"/>
    <col min="29" max="33" width="13" style="3" customWidth="1"/>
    <col min="34" max="34" width="10.875" style="2" customWidth="1"/>
    <col min="35" max="35" width="10.375" style="2" customWidth="1"/>
    <col min="36" max="38" width="10.5" style="2" customWidth="1"/>
    <col min="39" max="39" width="8.875" style="2" customWidth="1"/>
    <col min="40" max="40" width="11.125" style="2" customWidth="1"/>
    <col min="41" max="41" width="10.25" style="2" customWidth="1"/>
    <col min="42" max="44" width="12" style="2" customWidth="1"/>
    <col min="45" max="16384" width="8.875" style="3"/>
  </cols>
  <sheetData>
    <row r="1" spans="1:44" ht="24" customHeight="1">
      <c r="B1" s="208"/>
      <c r="C1" s="208"/>
      <c r="D1" s="208"/>
      <c r="E1" s="1076" t="s">
        <v>86</v>
      </c>
      <c r="F1" s="1076"/>
      <c r="G1" s="1076"/>
      <c r="H1" s="1076"/>
      <c r="I1" s="1076"/>
      <c r="J1" s="1076"/>
      <c r="K1" s="1076"/>
      <c r="L1" s="1076"/>
      <c r="M1" s="1076"/>
      <c r="N1" s="1076"/>
      <c r="O1" s="1076"/>
      <c r="P1" s="1076"/>
      <c r="Q1" s="208"/>
      <c r="R1" s="208"/>
      <c r="S1" s="208"/>
      <c r="T1" s="208"/>
      <c r="U1" s="150" t="s">
        <v>84</v>
      </c>
      <c r="V1" s="38"/>
      <c r="W1" s="38"/>
      <c r="X1" s="38"/>
      <c r="Y1" s="38"/>
      <c r="Z1" s="38"/>
      <c r="AA1" s="38"/>
      <c r="AB1" s="141"/>
      <c r="AC1" s="12"/>
      <c r="AD1" s="12"/>
      <c r="AE1" s="12"/>
      <c r="AF1" s="12"/>
      <c r="AG1" s="12"/>
    </row>
    <row r="2" spans="1:44" ht="24" customHeight="1">
      <c r="A2" s="208"/>
      <c r="B2" s="208"/>
      <c r="C2" s="208"/>
      <c r="D2" s="208"/>
      <c r="E2" s="1076"/>
      <c r="F2" s="1076"/>
      <c r="G2" s="1076"/>
      <c r="H2" s="1076"/>
      <c r="I2" s="1076"/>
      <c r="J2" s="1076"/>
      <c r="K2" s="1076"/>
      <c r="L2" s="1076"/>
      <c r="M2" s="1076"/>
      <c r="N2" s="1076"/>
      <c r="O2" s="1076"/>
      <c r="P2" s="1076"/>
      <c r="Q2" s="208"/>
      <c r="R2" s="208"/>
      <c r="S2" s="208"/>
      <c r="T2" s="208"/>
      <c r="U2" s="215" t="s">
        <v>327</v>
      </c>
      <c r="V2" s="12"/>
      <c r="W2" s="12"/>
      <c r="X2" s="12"/>
      <c r="Y2" s="12"/>
      <c r="Z2" s="12"/>
      <c r="AA2" s="12"/>
      <c r="AB2" s="53"/>
      <c r="AC2" s="12"/>
      <c r="AD2" s="12"/>
      <c r="AE2" s="12"/>
      <c r="AF2" s="12"/>
      <c r="AG2" s="12"/>
    </row>
    <row r="3" spans="1:44" ht="24" customHeight="1">
      <c r="A3" s="970">
        <f>'合計（印刷）'!A1:AB1</f>
        <v>0</v>
      </c>
      <c r="B3" s="970"/>
      <c r="C3" s="970"/>
      <c r="D3" s="970"/>
      <c r="E3" s="970"/>
      <c r="F3" s="970"/>
      <c r="G3" s="970"/>
      <c r="H3" s="970"/>
      <c r="I3" s="970"/>
      <c r="J3" s="970"/>
      <c r="K3" s="970"/>
      <c r="L3" s="970"/>
      <c r="M3" s="970"/>
      <c r="N3" s="970"/>
      <c r="O3" s="970"/>
      <c r="P3" s="970"/>
      <c r="Q3" s="970"/>
      <c r="R3" s="970"/>
      <c r="S3" s="970"/>
      <c r="T3" s="970"/>
      <c r="U3" s="553" t="s">
        <v>406</v>
      </c>
      <c r="V3" s="12"/>
      <c r="W3" s="12"/>
      <c r="X3" s="12"/>
      <c r="Y3" s="12"/>
      <c r="Z3" s="12"/>
      <c r="AA3" s="12"/>
      <c r="AB3" s="53"/>
      <c r="AC3" s="12"/>
      <c r="AD3" s="12"/>
      <c r="AE3" s="12"/>
      <c r="AF3" s="12"/>
      <c r="AG3" s="12"/>
    </row>
    <row r="4" spans="1:44" ht="24" customHeight="1" thickBot="1">
      <c r="A4" s="970"/>
      <c r="B4" s="970"/>
      <c r="C4" s="970"/>
      <c r="D4" s="970"/>
      <c r="E4" s="970"/>
      <c r="F4" s="970"/>
      <c r="G4" s="970"/>
      <c r="H4" s="970"/>
      <c r="I4" s="970"/>
      <c r="J4" s="970"/>
      <c r="K4" s="970"/>
      <c r="L4" s="970"/>
      <c r="M4" s="970"/>
      <c r="N4" s="970"/>
      <c r="O4" s="970"/>
      <c r="P4" s="970"/>
      <c r="Q4" s="970"/>
      <c r="R4" s="970"/>
      <c r="S4" s="970"/>
      <c r="T4" s="970"/>
      <c r="U4" s="552" t="s">
        <v>407</v>
      </c>
      <c r="V4" s="52"/>
      <c r="W4" s="52"/>
      <c r="X4" s="52"/>
      <c r="Y4" s="52"/>
      <c r="Z4" s="52"/>
      <c r="AA4" s="52"/>
      <c r="AB4" s="64"/>
      <c r="AC4" s="12"/>
      <c r="AD4" s="12"/>
      <c r="AE4" s="12"/>
      <c r="AF4" s="12"/>
      <c r="AG4" s="12"/>
    </row>
    <row r="5" spans="1:44" ht="19.5" customHeight="1" thickTop="1" thickBot="1">
      <c r="A5" s="155" t="s">
        <v>73</v>
      </c>
      <c r="M5" s="972" t="s">
        <v>91</v>
      </c>
      <c r="N5" s="973"/>
      <c r="O5" s="973"/>
      <c r="P5" s="974"/>
      <c r="Q5" s="977"/>
      <c r="R5" s="978"/>
      <c r="S5" s="978"/>
      <c r="T5" s="975" t="s">
        <v>6</v>
      </c>
      <c r="U5" s="1059" t="s">
        <v>328</v>
      </c>
      <c r="V5" s="1060"/>
      <c r="W5" s="1060"/>
      <c r="X5" s="1060"/>
      <c r="Y5" s="1060"/>
      <c r="Z5" s="1060"/>
      <c r="AA5" s="1060"/>
      <c r="AB5" s="1060"/>
    </row>
    <row r="6" spans="1:44" ht="25.5" customHeight="1">
      <c r="A6" s="155" t="s">
        <v>106</v>
      </c>
      <c r="M6" s="1053" t="s">
        <v>90</v>
      </c>
      <c r="N6" s="1054"/>
      <c r="O6" s="1054"/>
      <c r="P6" s="1055"/>
      <c r="Q6" s="979"/>
      <c r="R6" s="980"/>
      <c r="S6" s="980"/>
      <c r="T6" s="976"/>
      <c r="U6" s="1061"/>
      <c r="V6" s="1062"/>
      <c r="W6" s="1062"/>
      <c r="X6" s="1062"/>
      <c r="Y6" s="1062"/>
      <c r="Z6" s="1062"/>
      <c r="AA6" s="1062"/>
      <c r="AB6" s="1062"/>
      <c r="AG6" s="1040" t="s">
        <v>79</v>
      </c>
      <c r="AH6" s="1041"/>
      <c r="AI6" s="1041"/>
      <c r="AJ6" s="1041"/>
      <c r="AK6" s="1041"/>
      <c r="AL6" s="1041"/>
      <c r="AM6" s="1041"/>
      <c r="AN6" s="1042"/>
      <c r="AO6" s="149"/>
      <c r="AP6" s="149"/>
      <c r="AQ6" s="149"/>
      <c r="AR6" s="149"/>
    </row>
    <row r="7" spans="1:44" ht="25.5" customHeight="1">
      <c r="A7" s="1077" t="s">
        <v>323</v>
      </c>
      <c r="B7" s="1077"/>
      <c r="C7" s="1077"/>
      <c r="D7" s="1077"/>
      <c r="E7" s="1077"/>
      <c r="F7" s="1077"/>
      <c r="G7" s="1077"/>
      <c r="H7" s="1077"/>
      <c r="I7" s="1077"/>
      <c r="J7" s="1077"/>
      <c r="K7" s="1077"/>
      <c r="L7" s="1078"/>
      <c r="M7" s="1056"/>
      <c r="N7" s="1010"/>
      <c r="O7" s="983" t="s">
        <v>99</v>
      </c>
      <c r="P7" s="984"/>
      <c r="Q7" s="985"/>
      <c r="R7" s="989"/>
      <c r="S7" s="989"/>
      <c r="T7" s="990"/>
      <c r="U7" s="1061"/>
      <c r="V7" s="1062"/>
      <c r="W7" s="1062"/>
      <c r="X7" s="1062"/>
      <c r="Y7" s="1062"/>
      <c r="Z7" s="1062"/>
      <c r="AA7" s="1062"/>
      <c r="AB7" s="1062"/>
      <c r="AG7" s="1043"/>
      <c r="AH7" s="1044"/>
      <c r="AI7" s="1044"/>
      <c r="AJ7" s="1044"/>
      <c r="AK7" s="1044"/>
      <c r="AL7" s="1044"/>
      <c r="AM7" s="1044"/>
      <c r="AN7" s="1045"/>
      <c r="AO7" s="149"/>
      <c r="AP7" s="149"/>
      <c r="AQ7" s="149"/>
      <c r="AR7" s="149"/>
    </row>
    <row r="8" spans="1:44" ht="25.5" customHeight="1" thickBot="1">
      <c r="A8" s="1077" t="s">
        <v>381</v>
      </c>
      <c r="B8" s="1077"/>
      <c r="C8" s="1077"/>
      <c r="D8" s="1077"/>
      <c r="E8" s="1077"/>
      <c r="F8" s="1077"/>
      <c r="G8" s="1077"/>
      <c r="H8" s="1077"/>
      <c r="I8" s="1077"/>
      <c r="J8" s="1077"/>
      <c r="K8" s="1077"/>
      <c r="L8" s="1078"/>
      <c r="M8" s="981"/>
      <c r="N8" s="982"/>
      <c r="O8" s="986" t="s">
        <v>100</v>
      </c>
      <c r="P8" s="987"/>
      <c r="Q8" s="988"/>
      <c r="R8" s="1057"/>
      <c r="S8" s="1057"/>
      <c r="T8" s="1058"/>
      <c r="U8" s="1061"/>
      <c r="V8" s="1062"/>
      <c r="W8" s="1062"/>
      <c r="X8" s="1062"/>
      <c r="Y8" s="1062"/>
      <c r="Z8" s="1062"/>
      <c r="AA8" s="1062"/>
      <c r="AB8" s="1062"/>
      <c r="AG8" s="1043"/>
      <c r="AH8" s="1044"/>
      <c r="AI8" s="1044"/>
      <c r="AJ8" s="1044"/>
      <c r="AK8" s="1044"/>
      <c r="AL8" s="1044"/>
      <c r="AM8" s="1044"/>
      <c r="AN8" s="1045"/>
      <c r="AO8" s="149"/>
      <c r="AP8" s="149"/>
      <c r="AQ8" s="149"/>
      <c r="AR8" s="149"/>
    </row>
    <row r="9" spans="1:44" ht="23.25" customHeight="1" thickTop="1" thickBot="1">
      <c r="A9" s="995" t="s">
        <v>60</v>
      </c>
      <c r="B9" s="996"/>
      <c r="C9" s="243" t="s">
        <v>61</v>
      </c>
      <c r="D9" s="1005"/>
      <c r="E9" s="1006"/>
      <c r="F9" s="169">
        <f>IF(G9=0,0,IF(G9=7,0,IF(G9=5,0,IF(G9=2,0,"誤り⇒"))))</f>
        <v>0</v>
      </c>
      <c r="G9" s="997">
        <f>Sheet1!O65</f>
        <v>7</v>
      </c>
      <c r="H9" s="998"/>
      <c r="I9" s="1001" t="s">
        <v>23</v>
      </c>
      <c r="J9" s="1001"/>
      <c r="K9" s="1002"/>
      <c r="L9" s="522">
        <f>IF('医療分・支援・子供・介護分（印刷））'!A353='医療分・支援・子供・介護分（印刷））'!L353,"!！限度超過のため計算内訳計算不可能！！",IF('医療分・支援・子供・介護分（印刷））'!A87='医療分・支援・子供・介護分（印刷））'!L87,"限度超過のため内訳計算不可能！！",0))</f>
        <v>0</v>
      </c>
      <c r="M9" s="522"/>
      <c r="N9" s="522"/>
      <c r="O9" s="522"/>
      <c r="P9" s="522"/>
      <c r="Q9" s="522"/>
      <c r="R9" s="522"/>
      <c r="S9" s="522"/>
      <c r="T9" s="522"/>
      <c r="U9" s="1046">
        <f>IF('医療分・支援・子供・介護分（印刷））'!AH13&gt;0,"年度途中に異動あり、収納額算出不可能!",(IF(Q5='合計（印刷）'!B9,0,IF(入力画面!Q5='合計（印刷）'!B9:B11,0,"!！期割ごとの入金がされていない!！"))))</f>
        <v>0</v>
      </c>
      <c r="V9" s="1046"/>
      <c r="W9" s="1046"/>
      <c r="X9" s="1047"/>
      <c r="AG9" s="1043"/>
      <c r="AH9" s="1044"/>
      <c r="AI9" s="1044"/>
      <c r="AJ9" s="1044"/>
      <c r="AK9" s="1044"/>
      <c r="AL9" s="1044"/>
      <c r="AM9" s="1044"/>
      <c r="AN9" s="1045"/>
    </row>
    <row r="10" spans="1:44" ht="23.25" customHeight="1" thickTop="1" thickBot="1">
      <c r="A10" s="12"/>
      <c r="B10" s="12"/>
      <c r="C10" s="12"/>
      <c r="D10" s="12"/>
      <c r="E10" s="12"/>
      <c r="G10" s="999"/>
      <c r="H10" s="1000"/>
      <c r="I10" s="1003"/>
      <c r="J10" s="1003"/>
      <c r="K10" s="1004"/>
      <c r="L10" s="523"/>
      <c r="M10" s="1037" t="s">
        <v>313</v>
      </c>
      <c r="N10" s="1038"/>
      <c r="O10" s="1038"/>
      <c r="P10" s="1039"/>
      <c r="Q10" s="1039"/>
      <c r="R10" s="524" t="s">
        <v>314</v>
      </c>
      <c r="S10" s="523"/>
      <c r="T10" s="1048" t="s">
        <v>291</v>
      </c>
      <c r="U10" s="1049"/>
      <c r="V10" s="1049"/>
      <c r="W10" s="551"/>
      <c r="X10" s="525" t="s">
        <v>4</v>
      </c>
      <c r="AG10" s="56"/>
      <c r="AH10" s="4"/>
      <c r="AI10" s="4"/>
      <c r="AJ10" s="4"/>
      <c r="AK10" s="4"/>
      <c r="AL10" s="4"/>
      <c r="AM10" s="4"/>
      <c r="AN10" s="151"/>
    </row>
    <row r="11" spans="1:44" ht="23.25" customHeight="1" thickTop="1" thickBot="1">
      <c r="A11" s="580" t="s">
        <v>85</v>
      </c>
      <c r="B11" s="579"/>
      <c r="C11" s="579"/>
      <c r="D11" s="579"/>
      <c r="E11" s="581" t="s">
        <v>342</v>
      </c>
      <c r="F11" s="12"/>
      <c r="G11" s="12"/>
      <c r="H11" s="12"/>
      <c r="I11" s="50"/>
      <c r="J11" s="12"/>
      <c r="K11" s="12"/>
      <c r="L11" s="523">
        <f>IF('医療分・支援・子供・介護分（印刷））'!AG6+'医療分・支援・子供・介護分（印刷））'!AG272&gt;0,"!！限度超過のため期割計算不可能!!",0)</f>
        <v>0</v>
      </c>
      <c r="M11" s="523"/>
      <c r="N11" s="523"/>
      <c r="O11" s="523"/>
      <c r="P11" s="523"/>
      <c r="Q11" s="523"/>
      <c r="R11" s="523"/>
      <c r="S11" s="523"/>
      <c r="T11" s="1050" t="s">
        <v>292</v>
      </c>
      <c r="U11" s="1051"/>
      <c r="V11" s="1052"/>
      <c r="W11" s="605"/>
      <c r="X11" s="608" t="s">
        <v>6</v>
      </c>
      <c r="AG11" s="56"/>
      <c r="AH11" s="4"/>
      <c r="AI11" s="4"/>
      <c r="AJ11" s="4"/>
      <c r="AK11" s="4"/>
      <c r="AL11" s="4"/>
      <c r="AM11" s="4"/>
      <c r="AN11" s="4"/>
    </row>
    <row r="12" spans="1:44" ht="16.5" customHeight="1" thickTop="1">
      <c r="A12" s="1024" t="s">
        <v>144</v>
      </c>
      <c r="B12" s="1022" t="s">
        <v>67</v>
      </c>
      <c r="C12" s="993">
        <f>IF(Sheet1!$D$15=1,1,11)</f>
        <v>1</v>
      </c>
      <c r="D12" s="993"/>
      <c r="E12" s="994"/>
      <c r="F12" s="1007"/>
      <c r="G12" s="971"/>
      <c r="H12" s="971"/>
      <c r="I12" s="971"/>
      <c r="J12" s="971"/>
      <c r="K12" s="1008"/>
      <c r="L12" s="971"/>
      <c r="M12" s="971"/>
      <c r="N12" s="971"/>
      <c r="O12" s="971"/>
      <c r="P12" s="971"/>
      <c r="Q12" s="991">
        <f>IF(AJ14-AK14&lt;0,"入力エラー！所得のみエラー！",0)</f>
        <v>0</v>
      </c>
      <c r="R12" s="991"/>
      <c r="S12" s="991"/>
      <c r="T12" s="992"/>
      <c r="U12" s="209">
        <f>IF(C12=0,IF(I13+I14=0,0,"入力エラー!加入月のみ入力されている!"),IF(I13+I14=0,"入力エラー!加入月が入力されていない!",0))</f>
        <v>0</v>
      </c>
      <c r="V12" s="1067" t="s">
        <v>379</v>
      </c>
      <c r="W12" s="1067" t="s">
        <v>380</v>
      </c>
      <c r="X12" s="1067"/>
      <c r="Y12" s="18"/>
      <c r="AG12" s="56"/>
      <c r="AH12" s="1032" t="s">
        <v>69</v>
      </c>
      <c r="AI12" s="1033">
        <f>IF(I13&gt;0,1,0)</f>
        <v>1</v>
      </c>
      <c r="AJ12" s="1032" t="s">
        <v>71</v>
      </c>
      <c r="AK12" s="1032" t="s">
        <v>72</v>
      </c>
      <c r="AL12" s="4"/>
      <c r="AM12" s="106" t="s">
        <v>104</v>
      </c>
      <c r="AN12" s="153" t="s">
        <v>105</v>
      </c>
    </row>
    <row r="13" spans="1:44" ht="16.5" customHeight="1">
      <c r="A13" s="1020"/>
      <c r="B13" s="1023"/>
      <c r="C13" s="951"/>
      <c r="D13" s="951"/>
      <c r="E13" s="931"/>
      <c r="F13" s="1009" t="s">
        <v>62</v>
      </c>
      <c r="G13" s="1010"/>
      <c r="H13" s="1010"/>
      <c r="I13" s="1">
        <f>IF(C12=0,0,12)</f>
        <v>12</v>
      </c>
      <c r="J13" s="49" t="s">
        <v>5</v>
      </c>
      <c r="K13" s="244"/>
      <c r="L13" s="948" t="s">
        <v>64</v>
      </c>
      <c r="M13" s="948"/>
      <c r="N13" s="1017">
        <f>IF(Sheet1!$D$15=1,Sheet1!J21,IF(Sheet1!J22=0,0,Sheet1!J22))</f>
        <v>0</v>
      </c>
      <c r="O13" s="1017"/>
      <c r="P13" s="1017"/>
      <c r="Q13" s="1010" t="s">
        <v>65</v>
      </c>
      <c r="R13" s="1065" t="s">
        <v>66</v>
      </c>
      <c r="S13" s="1065"/>
      <c r="T13" s="1066"/>
      <c r="U13" s="137">
        <f>IF(I13=0,0,IF(I13&lt;12,"＊＊資格変動あり？期割内訳使用禁止！保険料内訳は使用ＯＫ！",0))</f>
        <v>0</v>
      </c>
      <c r="V13" s="1067"/>
      <c r="W13" s="1067"/>
      <c r="X13" s="1067"/>
      <c r="Y13" s="606" t="s">
        <v>313</v>
      </c>
      <c r="Z13" s="526">
        <f>算出表!$F$30</f>
        <v>21400</v>
      </c>
      <c r="AA13" s="527"/>
      <c r="AB13" s="527"/>
      <c r="AC13" s="528" t="s">
        <v>315</v>
      </c>
      <c r="AG13" s="56"/>
      <c r="AH13" s="1032"/>
      <c r="AI13" s="1033"/>
      <c r="AJ13" s="1032"/>
      <c r="AK13" s="1032"/>
      <c r="AL13" s="4"/>
      <c r="AM13" s="106">
        <f>IF(Q5=0,0,1)</f>
        <v>0</v>
      </c>
      <c r="AN13" s="154">
        <f>IF(R7+R8=0,0,1)</f>
        <v>0</v>
      </c>
    </row>
    <row r="14" spans="1:44" ht="16.5" customHeight="1">
      <c r="A14" s="1020"/>
      <c r="B14" s="1023"/>
      <c r="C14" s="951"/>
      <c r="D14" s="951"/>
      <c r="E14" s="931"/>
      <c r="F14" s="1009" t="s">
        <v>63</v>
      </c>
      <c r="G14" s="1010"/>
      <c r="H14" s="1010"/>
      <c r="I14" s="1">
        <f>IF(C12=0,0,IF(AND(C12=1,Sheet1!C21&gt;=40,Sheet1!C21&lt;65),12,IF(AND(C12=11,Sheet1!C22&gt;=40,Sheet1!C22&lt;65),12,0)))</f>
        <v>0</v>
      </c>
      <c r="J14" s="49" t="s">
        <v>5</v>
      </c>
      <c r="K14" s="244"/>
      <c r="L14" s="948"/>
      <c r="M14" s="948"/>
      <c r="N14" s="1017"/>
      <c r="O14" s="1017"/>
      <c r="P14" s="1017"/>
      <c r="Q14" s="1010"/>
      <c r="R14" s="1012">
        <f>ROUNDDOWN(N13,-3)</f>
        <v>0</v>
      </c>
      <c r="S14" s="1012"/>
      <c r="T14" s="1034" t="s">
        <v>6</v>
      </c>
      <c r="U14" s="137">
        <f>IF(I14=0,0,IF(I14&lt;12,"＊＊資格異動あり？期割り内訳使用注意！年度途中64歳は計算ＯＫ",0))</f>
        <v>0</v>
      </c>
      <c r="V14" s="1031">
        <v>0</v>
      </c>
      <c r="W14" s="1031">
        <f>I13-V14</f>
        <v>12</v>
      </c>
      <c r="X14" s="1031"/>
      <c r="Y14" s="607">
        <v>6</v>
      </c>
      <c r="Z14" s="530">
        <v>10</v>
      </c>
      <c r="AA14" s="531">
        <f>ROUNDDOWN($Z$13/Z14,-2)</f>
        <v>2100</v>
      </c>
      <c r="AB14" s="531"/>
      <c r="AC14" s="532">
        <f>算出表!$F$30-入力画面!AA14*9</f>
        <v>2500</v>
      </c>
      <c r="AG14" s="56"/>
      <c r="AH14" s="1032" t="s">
        <v>70</v>
      </c>
      <c r="AI14" s="1033">
        <f>IF(I14&gt;0,1,0)</f>
        <v>0</v>
      </c>
      <c r="AJ14" s="1036">
        <f>IF(C12=0,0,1)</f>
        <v>1</v>
      </c>
      <c r="AK14" s="1036">
        <f>IF(N13&gt;0,1,0)</f>
        <v>0</v>
      </c>
      <c r="AL14" s="4"/>
      <c r="AM14" s="4"/>
      <c r="AN14" s="151"/>
    </row>
    <row r="15" spans="1:44" ht="16.5" customHeight="1">
      <c r="A15" s="1020"/>
      <c r="B15" s="1025">
        <f>IF(AJ14-AI12&lt;0,"エラー",0)</f>
        <v>0</v>
      </c>
      <c r="C15" s="951"/>
      <c r="D15" s="951"/>
      <c r="E15" s="931"/>
      <c r="F15" s="3" t="s">
        <v>403</v>
      </c>
      <c r="I15" s="1">
        <f>IF(C12=0,0,IF(AND(C12=1,Sheet1!C21&gt;=18,Sheet1!C21&lt;75),12,IF(AND(C12=11,Sheet1!C22&gt;=18,Sheet1!C22&lt;75),12,0)))</f>
        <v>0</v>
      </c>
      <c r="J15" s="658" t="s">
        <v>5</v>
      </c>
      <c r="K15" s="244"/>
      <c r="L15" s="948"/>
      <c r="M15" s="948"/>
      <c r="N15" s="1017"/>
      <c r="O15" s="1017"/>
      <c r="P15" s="1017"/>
      <c r="Q15" s="1010"/>
      <c r="R15" s="1012"/>
      <c r="S15" s="1012"/>
      <c r="T15" s="1034"/>
      <c r="U15" s="137">
        <f>IF(I13=0,0,IF(I13=12,0,"!！期割計算不可能!！"))</f>
        <v>0</v>
      </c>
      <c r="V15" s="1031"/>
      <c r="W15" s="1031"/>
      <c r="X15" s="1031"/>
      <c r="Y15" s="607">
        <v>7</v>
      </c>
      <c r="Z15" s="530">
        <v>9</v>
      </c>
      <c r="AA15" s="531">
        <f t="shared" ref="AA15:AA23" si="0">ROUNDDOWN($Z$13/Z15,-2)</f>
        <v>2300</v>
      </c>
      <c r="AB15" s="531"/>
      <c r="AC15" s="532">
        <f>算出表!$F$30-入力画面!AA15*8</f>
        <v>3000</v>
      </c>
      <c r="AG15" s="56"/>
      <c r="AH15" s="1032"/>
      <c r="AI15" s="1033"/>
      <c r="AJ15" s="1036"/>
      <c r="AK15" s="1036"/>
      <c r="AL15" s="4"/>
      <c r="AM15" s="4"/>
      <c r="AN15" s="151"/>
    </row>
    <row r="16" spans="1:44" ht="16.5" customHeight="1">
      <c r="A16" s="1021"/>
      <c r="B16" s="1026"/>
      <c r="C16" s="952"/>
      <c r="D16" s="952"/>
      <c r="E16" s="932"/>
      <c r="F16" s="1014" t="s">
        <v>322</v>
      </c>
      <c r="G16" s="1015"/>
      <c r="H16" s="1015"/>
      <c r="I16" s="1015"/>
      <c r="J16" s="1015"/>
      <c r="K16" s="1016"/>
      <c r="L16" s="949"/>
      <c r="M16" s="949"/>
      <c r="N16" s="1018"/>
      <c r="O16" s="1018"/>
      <c r="P16" s="1018"/>
      <c r="Q16" s="1011"/>
      <c r="R16" s="1013"/>
      <c r="S16" s="1013"/>
      <c r="T16" s="1035"/>
      <c r="U16" s="137">
        <f>IF(I14=0,0,IF(I14=12,0,"!！期割計算不可能!！"))</f>
        <v>0</v>
      </c>
      <c r="V16" s="1031"/>
      <c r="W16" s="1031"/>
      <c r="X16" s="1031"/>
      <c r="Y16" s="607">
        <v>8</v>
      </c>
      <c r="Z16" s="530">
        <v>8</v>
      </c>
      <c r="AA16" s="531">
        <f t="shared" si="0"/>
        <v>2600</v>
      </c>
      <c r="AB16" s="531"/>
      <c r="AC16" s="532">
        <f>算出表!$F$30-入力画面!AA16*7</f>
        <v>3200</v>
      </c>
      <c r="AG16" s="56"/>
      <c r="AH16" s="4"/>
      <c r="AI16" s="4"/>
      <c r="AJ16" s="4"/>
      <c r="AK16" s="4"/>
      <c r="AL16" s="4"/>
      <c r="AM16" s="4"/>
      <c r="AN16" s="151"/>
    </row>
    <row r="17" spans="1:40" ht="16.5" customHeight="1">
      <c r="A17" s="1019" t="s">
        <v>145</v>
      </c>
      <c r="B17" s="1027" t="s">
        <v>67</v>
      </c>
      <c r="C17" s="950">
        <f>IF(AND(Sheet1!$D$15=1,Sheet1!C22&gt;0),2,IF(AND(Sheet1!$D$15=1,Sheet1!C22=0),0,IF(Sheet1!C23=0,0,12)))</f>
        <v>0</v>
      </c>
      <c r="D17" s="950"/>
      <c r="E17" s="930">
        <v>0</v>
      </c>
      <c r="F17" s="944"/>
      <c r="G17" s="945"/>
      <c r="H17" s="945"/>
      <c r="I17" s="945"/>
      <c r="J17" s="945"/>
      <c r="K17" s="946"/>
      <c r="L17" s="947"/>
      <c r="M17" s="947"/>
      <c r="N17" s="947"/>
      <c r="O17" s="947"/>
      <c r="P17" s="947"/>
      <c r="Q17" s="1063">
        <f>IF(AJ19-AK19&lt;0,"入力エラー！所得のみエラー！",0)</f>
        <v>0</v>
      </c>
      <c r="R17" s="1063"/>
      <c r="S17" s="1063"/>
      <c r="T17" s="1064"/>
      <c r="U17" s="209">
        <f>IF(C17=0,IF(I18+I19=0,0,"入力エラー!加入月のみ入力されている!"),IF(I18+I19=0,"入力エラー!加入月が入力されていない!",0))</f>
        <v>0</v>
      </c>
      <c r="V17" s="1067" t="s">
        <v>377</v>
      </c>
      <c r="W17" s="1067" t="s">
        <v>378</v>
      </c>
      <c r="X17" s="1067"/>
      <c r="Y17" s="529">
        <v>9</v>
      </c>
      <c r="Z17" s="530">
        <v>7</v>
      </c>
      <c r="AA17" s="531">
        <f t="shared" si="0"/>
        <v>3000</v>
      </c>
      <c r="AB17" s="531"/>
      <c r="AC17" s="532">
        <f>算出表!$F$30-入力画面!AA17*6</f>
        <v>3400</v>
      </c>
      <c r="AG17" s="56"/>
      <c r="AH17" s="1032" t="s">
        <v>69</v>
      </c>
      <c r="AI17" s="1033">
        <f>IF(I18&gt;0,1,0)</f>
        <v>0</v>
      </c>
      <c r="AJ17" s="1032" t="s">
        <v>71</v>
      </c>
      <c r="AK17" s="1032" t="s">
        <v>72</v>
      </c>
      <c r="AL17" s="4"/>
      <c r="AM17" s="4"/>
      <c r="AN17" s="151"/>
    </row>
    <row r="18" spans="1:40" ht="16.5" customHeight="1">
      <c r="A18" s="1020"/>
      <c r="B18" s="1023"/>
      <c r="C18" s="951"/>
      <c r="D18" s="951"/>
      <c r="E18" s="931"/>
      <c r="F18" s="1009" t="s">
        <v>62</v>
      </c>
      <c r="G18" s="1010"/>
      <c r="H18" s="1010"/>
      <c r="I18" s="1">
        <f>IF(C17=0,0,12)</f>
        <v>0</v>
      </c>
      <c r="J18" s="49" t="s">
        <v>5</v>
      </c>
      <c r="K18" s="244"/>
      <c r="L18" s="948" t="s">
        <v>64</v>
      </c>
      <c r="M18" s="948"/>
      <c r="N18" s="1017">
        <f>IF(Sheet1!$D$15=1,Sheet1!J22,IF(Sheet1!J23=0,0,Sheet1!J23))</f>
        <v>0</v>
      </c>
      <c r="O18" s="1017"/>
      <c r="P18" s="1017"/>
      <c r="Q18" s="1010" t="s">
        <v>65</v>
      </c>
      <c r="R18" s="1065" t="s">
        <v>66</v>
      </c>
      <c r="S18" s="1065"/>
      <c r="T18" s="1066"/>
      <c r="U18" s="137">
        <f>IF(I18=0,0,IF(I18&lt;12,"＊＊資格変動あり？期割内訳使用禁止！保険料内訳は使用ＯＫ！",0))</f>
        <v>0</v>
      </c>
      <c r="V18" s="1067"/>
      <c r="W18" s="1067"/>
      <c r="X18" s="1067"/>
      <c r="Y18" s="529">
        <v>10</v>
      </c>
      <c r="Z18" s="530">
        <v>6</v>
      </c>
      <c r="AA18" s="531">
        <f t="shared" si="0"/>
        <v>3500</v>
      </c>
      <c r="AB18" s="531"/>
      <c r="AC18" s="532">
        <f>算出表!$F$30-入力画面!AA18*5</f>
        <v>3900</v>
      </c>
      <c r="AG18" s="56"/>
      <c r="AH18" s="1032"/>
      <c r="AI18" s="1033"/>
      <c r="AJ18" s="1032"/>
      <c r="AK18" s="1032"/>
      <c r="AL18" s="4"/>
      <c r="AM18" s="4"/>
      <c r="AN18" s="151"/>
    </row>
    <row r="19" spans="1:40" ht="16.5" customHeight="1">
      <c r="A19" s="1020"/>
      <c r="B19" s="1023"/>
      <c r="C19" s="951"/>
      <c r="D19" s="951"/>
      <c r="E19" s="931"/>
      <c r="F19" s="1009" t="s">
        <v>63</v>
      </c>
      <c r="G19" s="1010"/>
      <c r="H19" s="1010"/>
      <c r="I19" s="1">
        <f>IF(C17=0,0,IF(AND(C17=2,Sheet1!C22&gt;=40,Sheet1!C22&lt;65),12,IF(AND(C17=12,Sheet1!C23&gt;=40,Sheet1!C23&lt;65),12,0)))</f>
        <v>0</v>
      </c>
      <c r="J19" s="49" t="s">
        <v>5</v>
      </c>
      <c r="K19" s="244"/>
      <c r="L19" s="948"/>
      <c r="M19" s="948"/>
      <c r="N19" s="1017"/>
      <c r="O19" s="1017"/>
      <c r="P19" s="1017"/>
      <c r="Q19" s="1010"/>
      <c r="R19" s="1012">
        <f>ROUNDDOWN(N18,-3)</f>
        <v>0</v>
      </c>
      <c r="S19" s="1012"/>
      <c r="T19" s="1034" t="s">
        <v>6</v>
      </c>
      <c r="U19" s="137">
        <f>IF(I19=0,0,IF(I19&lt;12,"＊＊資格異動あり？期割り内訳使用注意！年度途中64歳は計算ＯＫ",0))</f>
        <v>0</v>
      </c>
      <c r="V19" s="1068">
        <v>0</v>
      </c>
      <c r="W19" s="1031">
        <f>I14-V19</f>
        <v>0</v>
      </c>
      <c r="X19" s="1031"/>
      <c r="Y19" s="529">
        <v>11</v>
      </c>
      <c r="Z19" s="530">
        <v>5</v>
      </c>
      <c r="AA19" s="531">
        <f t="shared" si="0"/>
        <v>4200</v>
      </c>
      <c r="AB19" s="531"/>
      <c r="AC19" s="532">
        <f>算出表!$F$30-入力画面!AA19*4</f>
        <v>4600</v>
      </c>
      <c r="AG19" s="56"/>
      <c r="AH19" s="1032" t="s">
        <v>70</v>
      </c>
      <c r="AI19" s="1033">
        <f>IF(I19&gt;0,1,0)</f>
        <v>0</v>
      </c>
      <c r="AJ19" s="1036">
        <f>IF(C17=0,0,1)</f>
        <v>0</v>
      </c>
      <c r="AK19" s="1036">
        <f>IF(N18&gt;0,1,0)</f>
        <v>0</v>
      </c>
      <c r="AL19" s="4"/>
      <c r="AM19" s="4"/>
      <c r="AN19" s="151"/>
    </row>
    <row r="20" spans="1:40" ht="16.5" customHeight="1">
      <c r="A20" s="1020"/>
      <c r="B20" s="1025">
        <f>IF(AJ19-AI17&lt;0,"エラー",0)</f>
        <v>0</v>
      </c>
      <c r="C20" s="951"/>
      <c r="D20" s="951"/>
      <c r="E20" s="931"/>
      <c r="F20" s="3" t="s">
        <v>403</v>
      </c>
      <c r="I20" s="1">
        <f>IF(C17=0,0,IF(AND(C17=2,Sheet1!C22&gt;=18,Sheet1!C22&lt;75),12,IF(AND(C17=11,Sheet1!C23&gt;=18,Sheet1!C23&lt;75),12,0)))</f>
        <v>0</v>
      </c>
      <c r="J20" s="659" t="s">
        <v>5</v>
      </c>
      <c r="K20" s="244"/>
      <c r="L20" s="948"/>
      <c r="M20" s="948"/>
      <c r="N20" s="1017"/>
      <c r="O20" s="1017"/>
      <c r="P20" s="1017"/>
      <c r="Q20" s="1010"/>
      <c r="R20" s="1012"/>
      <c r="S20" s="1012"/>
      <c r="T20" s="1034"/>
      <c r="U20" s="137">
        <f>IF(I18=0,0,IF(I18=12,0,"!！期割計算不可能!！"))</f>
        <v>0</v>
      </c>
      <c r="V20" s="1068"/>
      <c r="W20" s="1031"/>
      <c r="X20" s="1031"/>
      <c r="Y20" s="529">
        <v>12</v>
      </c>
      <c r="Z20" s="530">
        <v>4</v>
      </c>
      <c r="AA20" s="531">
        <f t="shared" si="0"/>
        <v>5300</v>
      </c>
      <c r="AB20" s="531"/>
      <c r="AC20" s="532">
        <f>算出表!$F$30-入力画面!AA20*3</f>
        <v>5500</v>
      </c>
      <c r="AG20" s="56"/>
      <c r="AH20" s="1032"/>
      <c r="AI20" s="1033"/>
      <c r="AJ20" s="1036"/>
      <c r="AK20" s="1036"/>
      <c r="AL20" s="4"/>
      <c r="AM20" s="4"/>
      <c r="AN20" s="151"/>
    </row>
    <row r="21" spans="1:40" ht="16.5" customHeight="1">
      <c r="A21" s="1021"/>
      <c r="B21" s="1026"/>
      <c r="C21" s="952"/>
      <c r="D21" s="952"/>
      <c r="E21" s="932"/>
      <c r="F21" s="1028"/>
      <c r="G21" s="1029"/>
      <c r="H21" s="1029"/>
      <c r="I21" s="1029"/>
      <c r="J21" s="1029"/>
      <c r="K21" s="1030"/>
      <c r="L21" s="949"/>
      <c r="M21" s="949"/>
      <c r="N21" s="1018"/>
      <c r="O21" s="1018"/>
      <c r="P21" s="1018"/>
      <c r="Q21" s="1011"/>
      <c r="R21" s="1013"/>
      <c r="S21" s="1013"/>
      <c r="T21" s="1035"/>
      <c r="U21" s="137">
        <f>IF(I19=0,0,IF(I19=12,0,"!！期割計算不可能!！"))</f>
        <v>0</v>
      </c>
      <c r="V21" s="1068"/>
      <c r="W21" s="1031"/>
      <c r="X21" s="1031"/>
      <c r="Y21" s="529">
        <v>1</v>
      </c>
      <c r="Z21" s="530">
        <v>3</v>
      </c>
      <c r="AA21" s="531">
        <f t="shared" si="0"/>
        <v>7100</v>
      </c>
      <c r="AB21" s="531"/>
      <c r="AC21" s="532">
        <f>算出表!$F$30-入力画面!AA21*2</f>
        <v>7200</v>
      </c>
      <c r="AG21" s="56"/>
      <c r="AH21" s="4"/>
      <c r="AI21" s="4"/>
      <c r="AJ21" s="4"/>
      <c r="AK21" s="4"/>
      <c r="AL21" s="4"/>
      <c r="AM21" s="4"/>
      <c r="AN21" s="151"/>
    </row>
    <row r="22" spans="1:40" ht="16.5" customHeight="1">
      <c r="A22" s="1019" t="s">
        <v>146</v>
      </c>
      <c r="B22" s="1027" t="s">
        <v>67</v>
      </c>
      <c r="C22" s="950">
        <f>IF(AND(Sheet1!$D$15=1,Sheet1!C23&gt;0),3,IF(AND(Sheet1!$D$15=1,Sheet1!C23=0),0,IF(Sheet1!C24=0,0,13)))</f>
        <v>0</v>
      </c>
      <c r="D22" s="950"/>
      <c r="E22" s="930"/>
      <c r="F22" s="944">
        <f>IF(I18&lt;I23,"＊エラー!①から順に入力すること＊",0)</f>
        <v>0</v>
      </c>
      <c r="G22" s="945"/>
      <c r="H22" s="945"/>
      <c r="I22" s="945"/>
      <c r="J22" s="945"/>
      <c r="K22" s="946"/>
      <c r="L22" s="947"/>
      <c r="M22" s="947"/>
      <c r="N22" s="947"/>
      <c r="O22" s="947"/>
      <c r="P22" s="947"/>
      <c r="Q22" s="1063">
        <f>IF(AJ24-AK24&lt;0,"入力エラー！所得のみエラー！",0)</f>
        <v>0</v>
      </c>
      <c r="R22" s="1063"/>
      <c r="S22" s="1063"/>
      <c r="T22" s="1064"/>
      <c r="U22" s="209">
        <f>IF(C22=0,IF(I23+I24=0,0,"入力エラー!加入月のみ入力されている!"),IF(I23+I24=0,"入力エラー!加入月が入力されていない!",0))</f>
        <v>0</v>
      </c>
      <c r="V22" s="18"/>
      <c r="W22" s="18"/>
      <c r="X22" s="18"/>
      <c r="Y22" s="529">
        <v>2</v>
      </c>
      <c r="Z22" s="530">
        <v>2</v>
      </c>
      <c r="AA22" s="531">
        <f t="shared" si="0"/>
        <v>10700</v>
      </c>
      <c r="AB22" s="531"/>
      <c r="AC22" s="532">
        <f>算出表!$F$30-入力画面!AA22</f>
        <v>10700</v>
      </c>
      <c r="AG22" s="56"/>
      <c r="AH22" s="1032" t="s">
        <v>69</v>
      </c>
      <c r="AI22" s="1033">
        <f>IF(I23&gt;0,1,0)</f>
        <v>0</v>
      </c>
      <c r="AJ22" s="1032" t="s">
        <v>71</v>
      </c>
      <c r="AK22" s="1032" t="s">
        <v>72</v>
      </c>
      <c r="AL22" s="4"/>
      <c r="AM22" s="4"/>
      <c r="AN22" s="151"/>
    </row>
    <row r="23" spans="1:40" ht="16.5" customHeight="1">
      <c r="A23" s="1020"/>
      <c r="B23" s="1023"/>
      <c r="C23" s="951"/>
      <c r="D23" s="951"/>
      <c r="E23" s="931"/>
      <c r="F23" s="1009" t="s">
        <v>62</v>
      </c>
      <c r="G23" s="1010"/>
      <c r="H23" s="1010"/>
      <c r="I23" s="1">
        <f>IF(C22=0,0,12)</f>
        <v>0</v>
      </c>
      <c r="J23" s="49" t="s">
        <v>5</v>
      </c>
      <c r="K23" s="244"/>
      <c r="L23" s="948" t="s">
        <v>64</v>
      </c>
      <c r="M23" s="948"/>
      <c r="N23" s="1017">
        <f>IF(Sheet1!$D$15=1,Sheet1!J23,IF(Sheet1!J24=0,0,Sheet1!J24))</f>
        <v>0</v>
      </c>
      <c r="O23" s="1017"/>
      <c r="P23" s="1017"/>
      <c r="Q23" s="1010" t="s">
        <v>65</v>
      </c>
      <c r="R23" s="1065" t="s">
        <v>66</v>
      </c>
      <c r="S23" s="1065"/>
      <c r="T23" s="1066"/>
      <c r="U23" s="137">
        <f>IF(I23=0,0,IF(I23&lt;12,"＊＊資格変動あり？期割内訳使用禁止！保険料内訳は使用ＯＫ！",0))</f>
        <v>0</v>
      </c>
      <c r="V23" s="136"/>
      <c r="W23" s="136"/>
      <c r="X23" s="136"/>
      <c r="Y23" s="533">
        <v>3</v>
      </c>
      <c r="Z23" s="534">
        <v>1</v>
      </c>
      <c r="AA23" s="535">
        <f t="shared" si="0"/>
        <v>21400</v>
      </c>
      <c r="AB23" s="535"/>
      <c r="AC23" s="536"/>
      <c r="AG23" s="56"/>
      <c r="AH23" s="1032"/>
      <c r="AI23" s="1033"/>
      <c r="AJ23" s="1032"/>
      <c r="AK23" s="1032"/>
      <c r="AL23" s="4"/>
      <c r="AM23" s="4"/>
      <c r="AN23" s="151"/>
    </row>
    <row r="24" spans="1:40" ht="16.5" customHeight="1">
      <c r="A24" s="1020"/>
      <c r="B24" s="1023"/>
      <c r="C24" s="951"/>
      <c r="D24" s="951"/>
      <c r="E24" s="931"/>
      <c r="F24" s="1009" t="s">
        <v>63</v>
      </c>
      <c r="G24" s="1010"/>
      <c r="H24" s="1010"/>
      <c r="I24" s="1">
        <f>IF(C22=0,0,IF(AND(C22=3,Sheet1!C23&gt;=40,Sheet1!C23&lt;65),12,IF(AND(C22=13,Sheet1!C24&gt;=40,Sheet1!C24&lt;65),12,0)))</f>
        <v>0</v>
      </c>
      <c r="J24" s="49" t="s">
        <v>5</v>
      </c>
      <c r="K24" s="244"/>
      <c r="L24" s="948"/>
      <c r="M24" s="948"/>
      <c r="N24" s="1017"/>
      <c r="O24" s="1017"/>
      <c r="P24" s="1017"/>
      <c r="Q24" s="1010"/>
      <c r="R24" s="1012">
        <f>ROUNDDOWN(N23,-3)</f>
        <v>0</v>
      </c>
      <c r="S24" s="1012"/>
      <c r="T24" s="1034" t="s">
        <v>6</v>
      </c>
      <c r="U24" s="137">
        <f>IF(I24=0,0,IF(I24&lt;12,"＊＊資格異動あり？期割り内訳使用注意！年度途中64歳は計算ＯＫ",0))</f>
        <v>0</v>
      </c>
      <c r="V24" s="137"/>
      <c r="W24" s="137"/>
      <c r="X24" s="137"/>
      <c r="Y24" s="137"/>
      <c r="Z24" s="137"/>
      <c r="AG24" s="56"/>
      <c r="AH24" s="1032" t="s">
        <v>70</v>
      </c>
      <c r="AI24" s="1033">
        <f>IF(I24&gt;0,1,0)</f>
        <v>0</v>
      </c>
      <c r="AJ24" s="1036">
        <f>IF(C22=0,0,1)</f>
        <v>0</v>
      </c>
      <c r="AK24" s="1036">
        <f>IF(N23&gt;0,1,0)</f>
        <v>0</v>
      </c>
      <c r="AL24" s="4"/>
      <c r="AM24" s="4"/>
      <c r="AN24" s="151"/>
    </row>
    <row r="25" spans="1:40" ht="16.5" customHeight="1">
      <c r="A25" s="1020"/>
      <c r="B25" s="1025">
        <f>IF(AJ24-AI22&lt;0,"エラー",0)</f>
        <v>0</v>
      </c>
      <c r="C25" s="951"/>
      <c r="D25" s="951"/>
      <c r="E25" s="931"/>
      <c r="F25" s="3" t="s">
        <v>403</v>
      </c>
      <c r="I25" s="1">
        <f>IF(C22=0,0,IF(AND(C22=3,Sheet1!C23&gt;=18,Sheet1!C23&lt;75),12,IF(AND(C22=11,Sheet1!C24&gt;=18,Sheet1!C24&lt;75),12,0)))</f>
        <v>0</v>
      </c>
      <c r="J25" s="659" t="s">
        <v>5</v>
      </c>
      <c r="K25" s="244"/>
      <c r="L25" s="948"/>
      <c r="M25" s="948"/>
      <c r="N25" s="1017"/>
      <c r="O25" s="1017"/>
      <c r="P25" s="1017"/>
      <c r="Q25" s="1010"/>
      <c r="R25" s="1012"/>
      <c r="S25" s="1012"/>
      <c r="T25" s="1034"/>
      <c r="U25" s="137">
        <f>IF(I23=0,0,IF(I23=12,0,"!！期割計算不可能!！"))</f>
        <v>0</v>
      </c>
      <c r="V25" s="139"/>
      <c r="W25" s="139"/>
      <c r="X25" s="139"/>
      <c r="Y25" s="139">
        <f>P10</f>
        <v>0</v>
      </c>
      <c r="Z25" s="139" t="e">
        <f>VLOOKUP(Y25,Y14:Z23,2,FALSE)</f>
        <v>#N/A</v>
      </c>
      <c r="AG25" s="56"/>
      <c r="AH25" s="1032"/>
      <c r="AI25" s="1033"/>
      <c r="AJ25" s="1036"/>
      <c r="AK25" s="1036"/>
      <c r="AL25" s="4"/>
      <c r="AM25" s="4"/>
      <c r="AN25" s="151"/>
    </row>
    <row r="26" spans="1:40" ht="16.5" customHeight="1">
      <c r="A26" s="1021"/>
      <c r="B26" s="1026"/>
      <c r="C26" s="952"/>
      <c r="D26" s="952"/>
      <c r="E26" s="932"/>
      <c r="F26" s="1028"/>
      <c r="G26" s="1029"/>
      <c r="H26" s="1029"/>
      <c r="I26" s="1029"/>
      <c r="J26" s="1029"/>
      <c r="K26" s="1030"/>
      <c r="L26" s="949"/>
      <c r="M26" s="949"/>
      <c r="N26" s="1018"/>
      <c r="O26" s="1018"/>
      <c r="P26" s="1018"/>
      <c r="Q26" s="1011"/>
      <c r="R26" s="1013"/>
      <c r="S26" s="1013"/>
      <c r="T26" s="1035"/>
      <c r="U26" s="137">
        <f>IF(I24=0,0,IF(I24=12,0,"!！期割計算不可能!！"))</f>
        <v>0</v>
      </c>
      <c r="V26" s="140"/>
      <c r="W26" s="140"/>
      <c r="X26" s="140"/>
      <c r="Y26" s="140"/>
      <c r="Z26" s="140"/>
      <c r="AG26" s="56"/>
      <c r="AH26" s="4"/>
      <c r="AI26" s="4"/>
      <c r="AJ26" s="4"/>
      <c r="AK26" s="4"/>
      <c r="AL26" s="4"/>
      <c r="AM26" s="4"/>
      <c r="AN26" s="151"/>
    </row>
    <row r="27" spans="1:40" ht="16.5" customHeight="1">
      <c r="A27" s="1019" t="s">
        <v>147</v>
      </c>
      <c r="B27" s="1027" t="s">
        <v>67</v>
      </c>
      <c r="C27" s="950">
        <f>IF(AND(Sheet1!$D$15=1,Sheet1!C24&gt;0),4,IF(AND(Sheet1!$D$15=1,Sheet1!C24=0),0,IF(Sheet1!C25=0,0,14)))</f>
        <v>0</v>
      </c>
      <c r="D27" s="950"/>
      <c r="E27" s="930"/>
      <c r="F27" s="944">
        <f>IF(I23&lt;I28,"＊エラー!①から順に入力すること＊",0)</f>
        <v>0</v>
      </c>
      <c r="G27" s="945"/>
      <c r="H27" s="945"/>
      <c r="I27" s="945"/>
      <c r="J27" s="945"/>
      <c r="K27" s="946"/>
      <c r="L27" s="947"/>
      <c r="M27" s="947"/>
      <c r="N27" s="947"/>
      <c r="O27" s="947"/>
      <c r="P27" s="947"/>
      <c r="Q27" s="1063">
        <f>IF(AJ29-AK29&lt;0,"入力エラー！所得のみエラー！",0)</f>
        <v>0</v>
      </c>
      <c r="R27" s="1063"/>
      <c r="S27" s="1063"/>
      <c r="T27" s="1064"/>
      <c r="U27" s="209">
        <f>IF(C27=0,IF(I28+I29=0,0,"入力エラー!加入月のみ入力されている!"),IF(I28+I29=0,"入力エラー!加入月が入力されていない!",0))</f>
        <v>0</v>
      </c>
      <c r="V27" s="18"/>
      <c r="W27" s="18"/>
      <c r="X27" s="18"/>
      <c r="Y27" s="18"/>
      <c r="AG27" s="56"/>
      <c r="AH27" s="1032" t="s">
        <v>69</v>
      </c>
      <c r="AI27" s="1033">
        <f>IF(I28&gt;0,1,0)</f>
        <v>0</v>
      </c>
      <c r="AJ27" s="1032" t="s">
        <v>71</v>
      </c>
      <c r="AK27" s="1032" t="s">
        <v>72</v>
      </c>
      <c r="AL27" s="4"/>
      <c r="AM27" s="4"/>
      <c r="AN27" s="151"/>
    </row>
    <row r="28" spans="1:40" ht="16.5" customHeight="1">
      <c r="A28" s="1020"/>
      <c r="B28" s="1023"/>
      <c r="C28" s="951"/>
      <c r="D28" s="951"/>
      <c r="E28" s="931"/>
      <c r="F28" s="1009" t="s">
        <v>62</v>
      </c>
      <c r="G28" s="1010"/>
      <c r="H28" s="1010"/>
      <c r="I28" s="1">
        <f>IF(C27=0,0,12)</f>
        <v>0</v>
      </c>
      <c r="J28" s="49" t="s">
        <v>5</v>
      </c>
      <c r="K28" s="244"/>
      <c r="L28" s="948" t="s">
        <v>64</v>
      </c>
      <c r="M28" s="948"/>
      <c r="N28" s="1017">
        <f>IF(Sheet1!$D$15=1,Sheet1!J24,IF(Sheet1!J25=0,0,Sheet1!J25))</f>
        <v>0</v>
      </c>
      <c r="O28" s="1017"/>
      <c r="P28" s="1017"/>
      <c r="Q28" s="1010" t="s">
        <v>65</v>
      </c>
      <c r="R28" s="1065" t="s">
        <v>66</v>
      </c>
      <c r="S28" s="1065"/>
      <c r="T28" s="1066"/>
      <c r="U28" s="137">
        <f>IF(I28=0,0,IF(I28&lt;12,"＊＊資格変動あり？期割内訳使用禁止！保険料内訳は使用ＯＫ！",0))</f>
        <v>0</v>
      </c>
      <c r="V28" s="137"/>
      <c r="W28" s="137"/>
      <c r="X28" s="137"/>
      <c r="Y28" s="137"/>
      <c r="Z28" s="138"/>
      <c r="AG28" s="56"/>
      <c r="AH28" s="1032"/>
      <c r="AI28" s="1033"/>
      <c r="AJ28" s="1032"/>
      <c r="AK28" s="1032"/>
      <c r="AL28" s="4"/>
      <c r="AM28" s="4"/>
      <c r="AN28" s="151"/>
    </row>
    <row r="29" spans="1:40" ht="16.5" customHeight="1">
      <c r="A29" s="1020"/>
      <c r="B29" s="1023"/>
      <c r="C29" s="951"/>
      <c r="D29" s="951"/>
      <c r="E29" s="931"/>
      <c r="F29" s="1009" t="s">
        <v>63</v>
      </c>
      <c r="G29" s="1010"/>
      <c r="H29" s="1010"/>
      <c r="I29" s="1">
        <f>IF(C27=0,0,IF(AND(C27=4,Sheet1!C24&gt;=40,Sheet1!C24&lt;65),12,IF(AND(C27=14,Sheet1!C25&gt;=40,Sheet1!C25&lt;65),12,0)))</f>
        <v>0</v>
      </c>
      <c r="J29" s="49" t="s">
        <v>5</v>
      </c>
      <c r="K29" s="244"/>
      <c r="L29" s="948"/>
      <c r="M29" s="948"/>
      <c r="N29" s="1017"/>
      <c r="O29" s="1017"/>
      <c r="P29" s="1017"/>
      <c r="Q29" s="1010"/>
      <c r="R29" s="1012">
        <f>ROUNDDOWN(N28,-3)</f>
        <v>0</v>
      </c>
      <c r="S29" s="1012"/>
      <c r="T29" s="1034" t="s">
        <v>6</v>
      </c>
      <c r="U29" s="137">
        <f>IF(I29=0,0,IF(I29&lt;12,"＊＊資格異動あり？期割り内訳使用注意！年度途中64歳は計算ＯＫ",0))</f>
        <v>0</v>
      </c>
      <c r="V29" s="137"/>
      <c r="W29" s="137"/>
      <c r="X29" s="137"/>
      <c r="Y29" s="137"/>
      <c r="Z29" s="137"/>
      <c r="AG29" s="56"/>
      <c r="AH29" s="1032" t="s">
        <v>70</v>
      </c>
      <c r="AI29" s="1033">
        <f>IF(I29&gt;0,1,0)</f>
        <v>0</v>
      </c>
      <c r="AJ29" s="1036">
        <f>IF(C27=0,0,1)</f>
        <v>0</v>
      </c>
      <c r="AK29" s="1036">
        <f>IF(N28&gt;0,1,0)</f>
        <v>0</v>
      </c>
      <c r="AL29" s="4"/>
      <c r="AM29" s="4"/>
      <c r="AN29" s="151"/>
    </row>
    <row r="30" spans="1:40" ht="16.5" customHeight="1">
      <c r="A30" s="1020"/>
      <c r="B30" s="1025">
        <f>IF(AJ29-AI27&lt;0,"エラー",0)</f>
        <v>0</v>
      </c>
      <c r="C30" s="951"/>
      <c r="D30" s="951"/>
      <c r="E30" s="931"/>
      <c r="F30" s="3" t="s">
        <v>403</v>
      </c>
      <c r="I30" s="1">
        <f>IF(C27=0,0,IF(AND(C27=4,Sheet1!C24&gt;=18,Sheet1!C24&lt;75),12,IF(AND(C27=11,Sheet1!C25&gt;=18,Sheet1!C25&lt;75),12,0)))</f>
        <v>0</v>
      </c>
      <c r="J30" s="659" t="s">
        <v>5</v>
      </c>
      <c r="K30" s="244"/>
      <c r="L30" s="948"/>
      <c r="M30" s="948"/>
      <c r="N30" s="1017"/>
      <c r="O30" s="1017"/>
      <c r="P30" s="1017"/>
      <c r="Q30" s="1010"/>
      <c r="R30" s="1012"/>
      <c r="S30" s="1012"/>
      <c r="T30" s="1034"/>
      <c r="U30" s="137">
        <f>IF(I28=0,0,IF(I28=12,0,"!！期割計算不可能!！"))</f>
        <v>0</v>
      </c>
      <c r="V30" s="139"/>
      <c r="W30" s="139"/>
      <c r="X30" s="139"/>
      <c r="Y30" s="139"/>
      <c r="Z30" s="139"/>
      <c r="AG30" s="56"/>
      <c r="AH30" s="1032"/>
      <c r="AI30" s="1033"/>
      <c r="AJ30" s="1036"/>
      <c r="AK30" s="1036"/>
      <c r="AL30" s="4"/>
      <c r="AM30" s="4"/>
      <c r="AN30" s="151"/>
    </row>
    <row r="31" spans="1:40" ht="16.5" customHeight="1">
      <c r="A31" s="1021"/>
      <c r="B31" s="1026"/>
      <c r="C31" s="952"/>
      <c r="D31" s="952"/>
      <c r="E31" s="932"/>
      <c r="F31" s="1028"/>
      <c r="G31" s="1029"/>
      <c r="H31" s="1029"/>
      <c r="I31" s="1029"/>
      <c r="J31" s="1029"/>
      <c r="K31" s="1030"/>
      <c r="L31" s="949"/>
      <c r="M31" s="949"/>
      <c r="N31" s="1018"/>
      <c r="O31" s="1018"/>
      <c r="P31" s="1018"/>
      <c r="Q31" s="1011"/>
      <c r="R31" s="1013"/>
      <c r="S31" s="1013"/>
      <c r="T31" s="1035"/>
      <c r="U31" s="137">
        <f>IF(I29=0,0,IF(I29=12,0,"!！期割計算不可能!！"))</f>
        <v>0</v>
      </c>
      <c r="V31" s="140"/>
      <c r="W31" s="140"/>
      <c r="X31" s="140"/>
      <c r="Y31" s="140"/>
      <c r="Z31" s="140"/>
      <c r="AG31" s="56"/>
      <c r="AH31" s="4"/>
      <c r="AI31" s="4"/>
      <c r="AJ31" s="4"/>
      <c r="AK31" s="4"/>
      <c r="AL31" s="4"/>
      <c r="AM31" s="4"/>
      <c r="AN31" s="151"/>
    </row>
    <row r="32" spans="1:40" ht="16.5" customHeight="1">
      <c r="A32" s="1019" t="s">
        <v>148</v>
      </c>
      <c r="B32" s="1027" t="s">
        <v>67</v>
      </c>
      <c r="C32" s="950">
        <f>IF(AND(Sheet1!$D$15=1,Sheet1!C25&gt;0),5,IF(AND(Sheet1!$D$15=1,Sheet1!C25=0),0,IF(Sheet1!C26=0,0,15)))</f>
        <v>0</v>
      </c>
      <c r="D32" s="950"/>
      <c r="E32" s="930"/>
      <c r="F32" s="944">
        <f>IF(I28&lt;I33,"＊エラー!①から順に入力すること＊",0)</f>
        <v>0</v>
      </c>
      <c r="G32" s="945"/>
      <c r="H32" s="945"/>
      <c r="I32" s="945"/>
      <c r="J32" s="945"/>
      <c r="K32" s="946"/>
      <c r="L32" s="947"/>
      <c r="M32" s="947"/>
      <c r="N32" s="947"/>
      <c r="O32" s="947"/>
      <c r="P32" s="947"/>
      <c r="Q32" s="1063">
        <f>IF(AJ34-AK34&lt;0,"入力エラー！所得のみエラー！",0)</f>
        <v>0</v>
      </c>
      <c r="R32" s="1063"/>
      <c r="S32" s="1063"/>
      <c r="T32" s="1064"/>
      <c r="U32" s="209">
        <f>IF(C32=0,IF(I33+I34=0,0,"入力エラー!加入月のみ入力されている!"),IF(I33+I34=0,"入力エラー!加入月が入力されていない!",0))</f>
        <v>0</v>
      </c>
      <c r="V32" s="18"/>
      <c r="W32" s="18"/>
      <c r="X32" s="18"/>
      <c r="Y32" s="18"/>
      <c r="AG32" s="56"/>
      <c r="AH32" s="1032" t="s">
        <v>69</v>
      </c>
      <c r="AI32" s="1033">
        <f>IF(I33&gt;0,1,0)</f>
        <v>0</v>
      </c>
      <c r="AJ32" s="1032" t="s">
        <v>71</v>
      </c>
      <c r="AK32" s="1032" t="s">
        <v>72</v>
      </c>
      <c r="AL32" s="4"/>
      <c r="AM32" s="4"/>
      <c r="AN32" s="151"/>
    </row>
    <row r="33" spans="1:40" ht="16.5" customHeight="1">
      <c r="A33" s="1020"/>
      <c r="B33" s="1023"/>
      <c r="C33" s="951"/>
      <c r="D33" s="951"/>
      <c r="E33" s="931"/>
      <c r="F33" s="1009" t="s">
        <v>62</v>
      </c>
      <c r="G33" s="1010"/>
      <c r="H33" s="1010"/>
      <c r="I33" s="1">
        <f>IF(C32=0,0,12)</f>
        <v>0</v>
      </c>
      <c r="J33" s="49" t="s">
        <v>5</v>
      </c>
      <c r="K33" s="244"/>
      <c r="L33" s="948" t="s">
        <v>64</v>
      </c>
      <c r="M33" s="948"/>
      <c r="N33" s="1017">
        <f>IF(Sheet1!$D$15=1,Sheet1!J25,IF(Sheet1!J26=0,0,Sheet1!J26))</f>
        <v>0</v>
      </c>
      <c r="O33" s="1017"/>
      <c r="P33" s="1017"/>
      <c r="Q33" s="1010" t="s">
        <v>65</v>
      </c>
      <c r="R33" s="1065" t="s">
        <v>66</v>
      </c>
      <c r="S33" s="1065"/>
      <c r="T33" s="1066"/>
      <c r="U33" s="137">
        <f>IF(I33=0,0,IF(I33&lt;12,"＊＊資格変動あり？期割内訳使用禁止！保険料内訳は使用ＯＫ！",0))</f>
        <v>0</v>
      </c>
      <c r="V33" s="137"/>
      <c r="W33" s="137"/>
      <c r="X33" s="137"/>
      <c r="Y33" s="137"/>
      <c r="Z33" s="138"/>
      <c r="AG33" s="56"/>
      <c r="AH33" s="1032"/>
      <c r="AI33" s="1033"/>
      <c r="AJ33" s="1032"/>
      <c r="AK33" s="1032"/>
      <c r="AL33" s="4"/>
      <c r="AM33" s="4"/>
      <c r="AN33" s="151"/>
    </row>
    <row r="34" spans="1:40" ht="16.5" customHeight="1">
      <c r="A34" s="1020"/>
      <c r="B34" s="1023"/>
      <c r="C34" s="951"/>
      <c r="D34" s="951"/>
      <c r="E34" s="931"/>
      <c r="F34" s="1009" t="s">
        <v>63</v>
      </c>
      <c r="G34" s="1010"/>
      <c r="H34" s="1010"/>
      <c r="I34" s="1">
        <f>IF(C32=0,0,IF(AND(C32=5,Sheet1!C25&gt;=40,Sheet1!C25&lt;65),12,IF(AND(C32=15,Sheet1!C26&gt;=40,Sheet1!C26&lt;65),12,0)))</f>
        <v>0</v>
      </c>
      <c r="J34" s="49" t="s">
        <v>5</v>
      </c>
      <c r="K34" s="244"/>
      <c r="L34" s="948"/>
      <c r="M34" s="948"/>
      <c r="N34" s="1017"/>
      <c r="O34" s="1017"/>
      <c r="P34" s="1017"/>
      <c r="Q34" s="1010"/>
      <c r="R34" s="1012">
        <f>ROUNDDOWN(N33,-3)</f>
        <v>0</v>
      </c>
      <c r="S34" s="1012"/>
      <c r="T34" s="1034" t="s">
        <v>6</v>
      </c>
      <c r="U34" s="137">
        <f>IF(I34=0,0,IF(I34&lt;12,"＊＊資格異動あり？期割り内訳使用注意！年度途中64歳は計算ＯＫ",0))</f>
        <v>0</v>
      </c>
      <c r="V34" s="137"/>
      <c r="W34" s="137"/>
      <c r="X34" s="137"/>
      <c r="Y34" s="137"/>
      <c r="Z34" s="137"/>
      <c r="AG34" s="56"/>
      <c r="AH34" s="1032" t="s">
        <v>70</v>
      </c>
      <c r="AI34" s="1033">
        <f>IF(I34&gt;0,1,0)</f>
        <v>0</v>
      </c>
      <c r="AJ34" s="1036">
        <f>IF(C32=0,0,1)</f>
        <v>0</v>
      </c>
      <c r="AK34" s="1036">
        <f>IF(N33&gt;0,1,0)</f>
        <v>0</v>
      </c>
      <c r="AL34" s="4"/>
      <c r="AM34" s="4"/>
      <c r="AN34" s="151"/>
    </row>
    <row r="35" spans="1:40" ht="16.5" customHeight="1">
      <c r="A35" s="1020"/>
      <c r="B35" s="1025">
        <f>IF(AJ34-AI32&lt;0,"エラー",0)</f>
        <v>0</v>
      </c>
      <c r="C35" s="951"/>
      <c r="D35" s="951"/>
      <c r="E35" s="931"/>
      <c r="F35" s="3" t="s">
        <v>403</v>
      </c>
      <c r="I35" s="1">
        <f>IF(C32=0,0,IF(AND(C32=5,Sheet1!C25&gt;=18,Sheet1!C25&lt;75),12,IF(AND(C32=11,Sheet1!C26&gt;=18,Sheet1!C26&lt;75),12,0)))</f>
        <v>0</v>
      </c>
      <c r="J35" s="659" t="s">
        <v>5</v>
      </c>
      <c r="K35" s="244"/>
      <c r="L35" s="948"/>
      <c r="M35" s="948"/>
      <c r="N35" s="1017"/>
      <c r="O35" s="1017"/>
      <c r="P35" s="1017"/>
      <c r="Q35" s="1010"/>
      <c r="R35" s="1012"/>
      <c r="S35" s="1012"/>
      <c r="T35" s="1034"/>
      <c r="U35" s="137">
        <f>IF(I33=0,0,IF(I33=12,0,"!！期割計算不可能!！"))</f>
        <v>0</v>
      </c>
      <c r="V35" s="139"/>
      <c r="W35" s="139"/>
      <c r="X35" s="139"/>
      <c r="Y35" s="139"/>
      <c r="Z35" s="139"/>
      <c r="AG35" s="56"/>
      <c r="AH35" s="1032"/>
      <c r="AI35" s="1033"/>
      <c r="AJ35" s="1036"/>
      <c r="AK35" s="1036"/>
      <c r="AL35" s="4"/>
      <c r="AM35" s="4"/>
      <c r="AN35" s="151"/>
    </row>
    <row r="36" spans="1:40" ht="16.5" customHeight="1">
      <c r="A36" s="1021"/>
      <c r="B36" s="1026"/>
      <c r="C36" s="952"/>
      <c r="D36" s="952"/>
      <c r="E36" s="932"/>
      <c r="F36" s="1028"/>
      <c r="G36" s="1029"/>
      <c r="H36" s="1029"/>
      <c r="I36" s="1029"/>
      <c r="J36" s="1029"/>
      <c r="K36" s="1030"/>
      <c r="L36" s="949"/>
      <c r="M36" s="949"/>
      <c r="N36" s="1018"/>
      <c r="O36" s="1018"/>
      <c r="P36" s="1018"/>
      <c r="Q36" s="1011"/>
      <c r="R36" s="1013"/>
      <c r="S36" s="1013"/>
      <c r="T36" s="1035"/>
      <c r="U36" s="137">
        <f>IF(I34=0,0,IF(I34=12,0,"!！期割計算不可能!！"))</f>
        <v>0</v>
      </c>
      <c r="V36" s="140"/>
      <c r="W36" s="140"/>
      <c r="X36" s="140"/>
      <c r="Y36" s="140"/>
      <c r="Z36" s="140"/>
      <c r="AG36" s="56"/>
      <c r="AH36" s="4"/>
      <c r="AI36" s="4"/>
      <c r="AJ36" s="4"/>
      <c r="AK36" s="4"/>
      <c r="AL36" s="4"/>
      <c r="AM36" s="4"/>
      <c r="AN36" s="151"/>
    </row>
    <row r="37" spans="1:40" ht="16.5" customHeight="1">
      <c r="A37" s="1019" t="s">
        <v>149</v>
      </c>
      <c r="B37" s="1027" t="s">
        <v>67</v>
      </c>
      <c r="C37" s="950">
        <f>IF(AND(Sheet1!$D$15=1,Sheet1!C26&gt;0),6,IF(AND(Sheet1!$D$15=1,Sheet1!C26=0),0,IF(Sheet1!C27=0,0,16)))</f>
        <v>0</v>
      </c>
      <c r="D37" s="950"/>
      <c r="E37" s="930"/>
      <c r="F37" s="944">
        <f>IF(I33&lt;I38,"＊エラー!①から順に入力すること＊",0)</f>
        <v>0</v>
      </c>
      <c r="G37" s="945"/>
      <c r="H37" s="945"/>
      <c r="I37" s="945"/>
      <c r="J37" s="945"/>
      <c r="K37" s="946"/>
      <c r="L37" s="947"/>
      <c r="M37" s="947"/>
      <c r="N37" s="947"/>
      <c r="O37" s="947"/>
      <c r="P37" s="947"/>
      <c r="Q37" s="1063">
        <f>IF(AJ39-AK39&lt;0,"入力エラー！所得のみエラー！",0)</f>
        <v>0</v>
      </c>
      <c r="R37" s="1063"/>
      <c r="S37" s="1063"/>
      <c r="T37" s="1064"/>
      <c r="U37" s="209">
        <f>IF(C37=0,IF(I38+I39=0,0,"入力エラー!加入月のみ入力されている!"),IF(I38+I39=0,"入力エラー!加入月が入力されていない!",0))</f>
        <v>0</v>
      </c>
      <c r="V37" s="18"/>
      <c r="W37" s="18"/>
      <c r="X37" s="18"/>
      <c r="Y37" s="18"/>
      <c r="AG37" s="56"/>
      <c r="AH37" s="1032" t="s">
        <v>69</v>
      </c>
      <c r="AI37" s="1033">
        <f>IF(I38&gt;0,1,0)</f>
        <v>0</v>
      </c>
      <c r="AJ37" s="1032" t="s">
        <v>71</v>
      </c>
      <c r="AK37" s="1032" t="s">
        <v>72</v>
      </c>
      <c r="AL37" s="4"/>
      <c r="AM37" s="4"/>
      <c r="AN37" s="151"/>
    </row>
    <row r="38" spans="1:40" ht="16.5" customHeight="1">
      <c r="A38" s="1020"/>
      <c r="B38" s="1023"/>
      <c r="C38" s="951"/>
      <c r="D38" s="951"/>
      <c r="E38" s="931"/>
      <c r="F38" s="1009" t="s">
        <v>62</v>
      </c>
      <c r="G38" s="1010"/>
      <c r="H38" s="1010"/>
      <c r="I38" s="1">
        <f>IF(C37=0,0,12)</f>
        <v>0</v>
      </c>
      <c r="J38" s="49" t="s">
        <v>5</v>
      </c>
      <c r="K38" s="244"/>
      <c r="L38" s="948" t="s">
        <v>64</v>
      </c>
      <c r="M38" s="948"/>
      <c r="N38" s="1017">
        <f>IF(Sheet1!$D$15=1,Sheet1!J26,IF(Sheet1!J27=0,0,Sheet1!J27))</f>
        <v>0</v>
      </c>
      <c r="O38" s="1017"/>
      <c r="P38" s="1017"/>
      <c r="Q38" s="1010" t="s">
        <v>65</v>
      </c>
      <c r="R38" s="1065" t="s">
        <v>66</v>
      </c>
      <c r="S38" s="1065"/>
      <c r="T38" s="1066"/>
      <c r="U38" s="137">
        <f>IF(I38=0,0,IF(I38&lt;12,"＊＊資格変動あり？期割内訳使用禁止！保険料内訳は使用ＯＫ！",0))</f>
        <v>0</v>
      </c>
      <c r="V38" s="137"/>
      <c r="W38" s="137"/>
      <c r="X38" s="137"/>
      <c r="Y38" s="137"/>
      <c r="Z38" s="138"/>
      <c r="AG38" s="56"/>
      <c r="AH38" s="1032"/>
      <c r="AI38" s="1033"/>
      <c r="AJ38" s="1032"/>
      <c r="AK38" s="1032"/>
      <c r="AL38" s="4"/>
      <c r="AM38" s="4"/>
      <c r="AN38" s="151"/>
    </row>
    <row r="39" spans="1:40" ht="16.5" customHeight="1">
      <c r="A39" s="1020"/>
      <c r="B39" s="1023"/>
      <c r="C39" s="951"/>
      <c r="D39" s="951"/>
      <c r="E39" s="931"/>
      <c r="F39" s="1009" t="s">
        <v>63</v>
      </c>
      <c r="G39" s="1010"/>
      <c r="H39" s="1010"/>
      <c r="I39" s="1">
        <f>IF(C37=0,0,IF(AND(C37=6,Sheet1!C26&gt;=40,Sheet1!C26&lt;65),12,IF(AND(C37=16,Sheet1!C27&gt;=40,Sheet1!C27&lt;65),12,0)))</f>
        <v>0</v>
      </c>
      <c r="J39" s="49" t="s">
        <v>5</v>
      </c>
      <c r="K39" s="244"/>
      <c r="L39" s="948"/>
      <c r="M39" s="948"/>
      <c r="N39" s="1017"/>
      <c r="O39" s="1017"/>
      <c r="P39" s="1017"/>
      <c r="Q39" s="1010"/>
      <c r="R39" s="1012">
        <f>ROUNDDOWN(N38,-3)</f>
        <v>0</v>
      </c>
      <c r="S39" s="1012"/>
      <c r="T39" s="1034" t="s">
        <v>6</v>
      </c>
      <c r="U39" s="137">
        <f>IF(I39=0,0,IF(I39&lt;12,"＊＊資格異動あり？期割り内訳使用注意！年度途中64歳は計算ＯＫ",0))</f>
        <v>0</v>
      </c>
      <c r="V39" s="137"/>
      <c r="W39" s="137"/>
      <c r="X39" s="137"/>
      <c r="Y39" s="137"/>
      <c r="Z39" s="137"/>
      <c r="AG39" s="56"/>
      <c r="AH39" s="1032" t="s">
        <v>70</v>
      </c>
      <c r="AI39" s="1033">
        <f>IF(I39&gt;0,1,0)</f>
        <v>0</v>
      </c>
      <c r="AJ39" s="1036">
        <f>IF(C37=0,0,1)</f>
        <v>0</v>
      </c>
      <c r="AK39" s="1036">
        <f>IF(N38&gt;0,1,0)</f>
        <v>0</v>
      </c>
      <c r="AL39" s="4"/>
      <c r="AM39" s="4"/>
      <c r="AN39" s="151"/>
    </row>
    <row r="40" spans="1:40" ht="16.5" customHeight="1">
      <c r="A40" s="1020"/>
      <c r="B40" s="1025">
        <f>IF(AJ39-AI37&lt;0,"エラー",0)</f>
        <v>0</v>
      </c>
      <c r="C40" s="951"/>
      <c r="D40" s="951"/>
      <c r="E40" s="931"/>
      <c r="F40" s="3" t="s">
        <v>403</v>
      </c>
      <c r="I40" s="1">
        <f>IF(C37=0,0,IF(AND(C37=6,Sheet1!C26&gt;=18,Sheet1!C26&lt;75),12,IF(AND(C37=11,Sheet1!C27&gt;=18,Sheet1!C27&lt;75),12,0)))</f>
        <v>0</v>
      </c>
      <c r="J40" s="659" t="s">
        <v>5</v>
      </c>
      <c r="K40" s="244"/>
      <c r="L40" s="948"/>
      <c r="M40" s="948"/>
      <c r="N40" s="1017"/>
      <c r="O40" s="1017"/>
      <c r="P40" s="1017"/>
      <c r="Q40" s="1010"/>
      <c r="R40" s="1012"/>
      <c r="S40" s="1012"/>
      <c r="T40" s="1034"/>
      <c r="U40" s="137">
        <f>IF(I38=0,0,IF(I38=12,0,"!！期割計算不可能!！"))</f>
        <v>0</v>
      </c>
      <c r="V40" s="139"/>
      <c r="W40" s="139"/>
      <c r="X40" s="139"/>
      <c r="Y40" s="139"/>
      <c r="Z40" s="139"/>
      <c r="AG40" s="56"/>
      <c r="AH40" s="1032"/>
      <c r="AI40" s="1033"/>
      <c r="AJ40" s="1036"/>
      <c r="AK40" s="1036"/>
      <c r="AL40" s="4"/>
      <c r="AM40" s="4"/>
      <c r="AN40" s="151"/>
    </row>
    <row r="41" spans="1:40" ht="16.5" customHeight="1">
      <c r="A41" s="1021"/>
      <c r="B41" s="1026"/>
      <c r="C41" s="952"/>
      <c r="D41" s="952"/>
      <c r="E41" s="932"/>
      <c r="F41" s="1028"/>
      <c r="G41" s="1029"/>
      <c r="H41" s="1029"/>
      <c r="I41" s="1029"/>
      <c r="J41" s="1029"/>
      <c r="K41" s="1030"/>
      <c r="L41" s="949"/>
      <c r="M41" s="949"/>
      <c r="N41" s="1018"/>
      <c r="O41" s="1018"/>
      <c r="P41" s="1018"/>
      <c r="Q41" s="1011"/>
      <c r="R41" s="1013"/>
      <c r="S41" s="1013"/>
      <c r="T41" s="1035"/>
      <c r="U41" s="137">
        <f>IF(I39=0,0,IF(I39=12,0,"!！期割計算不可能!！"))</f>
        <v>0</v>
      </c>
      <c r="V41" s="140"/>
      <c r="W41" s="140"/>
      <c r="X41" s="140"/>
      <c r="Y41" s="140"/>
      <c r="Z41" s="140"/>
      <c r="AG41" s="56"/>
      <c r="AH41" s="4"/>
      <c r="AI41" s="4"/>
      <c r="AJ41" s="4"/>
      <c r="AK41" s="4"/>
      <c r="AL41" s="4"/>
      <c r="AM41" s="4"/>
      <c r="AN41" s="151"/>
    </row>
    <row r="42" spans="1:40" ht="16.5" customHeight="1">
      <c r="A42" s="1019" t="s">
        <v>150</v>
      </c>
      <c r="B42" s="1027" t="s">
        <v>67</v>
      </c>
      <c r="C42" s="950">
        <f>IF(AND(Sheet1!$D$15=1,Sheet1!C27&gt;0),7,0)</f>
        <v>0</v>
      </c>
      <c r="D42" s="950"/>
      <c r="E42" s="930"/>
      <c r="F42" s="944">
        <f>IF(I38&lt;I43,"＊エラー!①から順に入力すること＊",0)</f>
        <v>0</v>
      </c>
      <c r="G42" s="945"/>
      <c r="H42" s="945"/>
      <c r="I42" s="945"/>
      <c r="J42" s="945"/>
      <c r="K42" s="946"/>
      <c r="L42" s="947"/>
      <c r="M42" s="947"/>
      <c r="N42" s="947"/>
      <c r="O42" s="947"/>
      <c r="P42" s="947"/>
      <c r="Q42" s="1063">
        <f>IF(AJ44-AK44&lt;0,"入力エラー！所得のみエラー！",0)</f>
        <v>0</v>
      </c>
      <c r="R42" s="1063"/>
      <c r="S42" s="1063"/>
      <c r="T42" s="1064"/>
      <c r="U42" s="209">
        <f>IF(C42=0,IF(I43+I44=0,0,"入力エラー!加入月のみ入力されている!"),IF(I43+I44=0,"入力エラー!加入月が入力されていない!",0))</f>
        <v>0</v>
      </c>
      <c r="V42" s="18"/>
      <c r="W42" s="18"/>
      <c r="X42" s="18"/>
      <c r="Y42" s="18"/>
      <c r="AG42" s="56"/>
      <c r="AH42" s="1032" t="s">
        <v>69</v>
      </c>
      <c r="AI42" s="1033">
        <f>IF(I43&gt;0,1,0)</f>
        <v>0</v>
      </c>
      <c r="AJ42" s="1032" t="s">
        <v>71</v>
      </c>
      <c r="AK42" s="1032" t="s">
        <v>72</v>
      </c>
      <c r="AL42" s="4"/>
      <c r="AM42" s="4"/>
      <c r="AN42" s="151"/>
    </row>
    <row r="43" spans="1:40" ht="16.5" customHeight="1">
      <c r="A43" s="1020"/>
      <c r="B43" s="1023"/>
      <c r="C43" s="951"/>
      <c r="D43" s="951"/>
      <c r="E43" s="931"/>
      <c r="F43" s="1009" t="s">
        <v>62</v>
      </c>
      <c r="G43" s="1010"/>
      <c r="H43" s="1010"/>
      <c r="I43" s="1">
        <f>IF(C42=0,0,12)</f>
        <v>0</v>
      </c>
      <c r="J43" s="49" t="s">
        <v>5</v>
      </c>
      <c r="K43" s="244"/>
      <c r="L43" s="948" t="s">
        <v>64</v>
      </c>
      <c r="M43" s="948"/>
      <c r="N43" s="1017">
        <f>IF(Sheet1!$D$15=1,Sheet1!J27,IF(Sheet1!J26=0,0,Sheet1!J26))</f>
        <v>0</v>
      </c>
      <c r="O43" s="1017"/>
      <c r="P43" s="1017"/>
      <c r="Q43" s="1010" t="s">
        <v>65</v>
      </c>
      <c r="R43" s="1065" t="s">
        <v>66</v>
      </c>
      <c r="S43" s="1065"/>
      <c r="T43" s="1066"/>
      <c r="U43" s="137">
        <f>IF(I43=0,0,IF(I43&lt;12,"＊＊資格変動あり？期割内訳使用禁止！保険料内訳は使用ＯＫ！",0))</f>
        <v>0</v>
      </c>
      <c r="V43" s="137"/>
      <c r="W43" s="137"/>
      <c r="X43" s="137"/>
      <c r="Y43" s="137"/>
      <c r="Z43" s="138"/>
      <c r="AG43" s="56"/>
      <c r="AH43" s="1032"/>
      <c r="AI43" s="1033"/>
      <c r="AJ43" s="1032"/>
      <c r="AK43" s="1032"/>
      <c r="AL43" s="4"/>
      <c r="AM43" s="4"/>
      <c r="AN43" s="151"/>
    </row>
    <row r="44" spans="1:40" ht="16.5" customHeight="1">
      <c r="A44" s="1020"/>
      <c r="B44" s="1023"/>
      <c r="C44" s="951"/>
      <c r="D44" s="951"/>
      <c r="E44" s="931"/>
      <c r="F44" s="1009" t="s">
        <v>63</v>
      </c>
      <c r="G44" s="1010"/>
      <c r="H44" s="1010"/>
      <c r="I44" s="1">
        <f>IF(C42=0,0,IF(AND(C42=7,Sheet1!C27&gt;=40,Sheet1!C27&lt;65),12,0))</f>
        <v>0</v>
      </c>
      <c r="J44" s="49" t="s">
        <v>5</v>
      </c>
      <c r="K44" s="244"/>
      <c r="L44" s="948"/>
      <c r="M44" s="948"/>
      <c r="N44" s="1017"/>
      <c r="O44" s="1017"/>
      <c r="P44" s="1017"/>
      <c r="Q44" s="1010"/>
      <c r="R44" s="1012">
        <f>ROUNDDOWN(N43,-3)</f>
        <v>0</v>
      </c>
      <c r="S44" s="1012"/>
      <c r="T44" s="1034" t="s">
        <v>6</v>
      </c>
      <c r="U44" s="137">
        <f>IF(I44=0,0,IF(I44&lt;12,"＊＊資格異動あり？期割り内訳使用注意！年度途中64歳は計算ＯＫ",0))</f>
        <v>0</v>
      </c>
      <c r="V44" s="137"/>
      <c r="W44" s="137"/>
      <c r="X44" s="137"/>
      <c r="Y44" s="137"/>
      <c r="Z44" s="137"/>
      <c r="AG44" s="56"/>
      <c r="AH44" s="1032" t="s">
        <v>70</v>
      </c>
      <c r="AI44" s="1033">
        <f>IF(I44&gt;0,1,0)</f>
        <v>0</v>
      </c>
      <c r="AJ44" s="1036">
        <f>IF(C42=0,0,1)</f>
        <v>0</v>
      </c>
      <c r="AK44" s="1036">
        <f>IF(N43&gt;0,1,0)</f>
        <v>0</v>
      </c>
      <c r="AL44" s="4"/>
      <c r="AM44" s="4"/>
      <c r="AN44" s="151"/>
    </row>
    <row r="45" spans="1:40" ht="16.5" customHeight="1">
      <c r="A45" s="1020"/>
      <c r="B45" s="1025">
        <f>IF(AJ44-AI42&lt;0,"エラー",0)</f>
        <v>0</v>
      </c>
      <c r="C45" s="951"/>
      <c r="D45" s="951"/>
      <c r="E45" s="931"/>
      <c r="F45" s="3" t="s">
        <v>403</v>
      </c>
      <c r="I45" s="1">
        <f>IF(C42=0,0,IF(AND(C42=7,Sheet1!C27&gt;=18,Sheet1!C27&lt;75),12,0))</f>
        <v>0</v>
      </c>
      <c r="J45" s="659" t="s">
        <v>5</v>
      </c>
      <c r="K45" s="244"/>
      <c r="L45" s="948"/>
      <c r="M45" s="948"/>
      <c r="N45" s="1017"/>
      <c r="O45" s="1017"/>
      <c r="P45" s="1017"/>
      <c r="Q45" s="1010"/>
      <c r="R45" s="1012"/>
      <c r="S45" s="1012"/>
      <c r="T45" s="1034"/>
      <c r="U45" s="137">
        <f>IF(I43=0,0,IF(I43=12,0,"!！期割計算不可能!！"))</f>
        <v>0</v>
      </c>
      <c r="V45" s="139"/>
      <c r="W45" s="139"/>
      <c r="X45" s="139"/>
      <c r="Y45" s="139"/>
      <c r="Z45" s="139"/>
      <c r="AG45" s="56"/>
      <c r="AH45" s="1032"/>
      <c r="AI45" s="1033"/>
      <c r="AJ45" s="1036"/>
      <c r="AK45" s="1036"/>
      <c r="AL45" s="4"/>
      <c r="AM45" s="4"/>
      <c r="AN45" s="151"/>
    </row>
    <row r="46" spans="1:40" ht="16.5" customHeight="1" thickBot="1">
      <c r="A46" s="1079"/>
      <c r="B46" s="1085"/>
      <c r="C46" s="953"/>
      <c r="D46" s="953"/>
      <c r="E46" s="935"/>
      <c r="F46" s="1070"/>
      <c r="G46" s="1071"/>
      <c r="H46" s="1071"/>
      <c r="I46" s="1071"/>
      <c r="J46" s="1071"/>
      <c r="K46" s="1072"/>
      <c r="L46" s="1090"/>
      <c r="M46" s="1090"/>
      <c r="N46" s="1069"/>
      <c r="O46" s="1069"/>
      <c r="P46" s="1069"/>
      <c r="Q46" s="1074"/>
      <c r="R46" s="1075"/>
      <c r="S46" s="1075"/>
      <c r="T46" s="1073"/>
      <c r="U46" s="137">
        <f>IF(I44=0,0,IF(I44=12,0,"!！期割計算不可能!！"))</f>
        <v>0</v>
      </c>
      <c r="V46" s="140"/>
      <c r="W46" s="140"/>
      <c r="X46" s="140"/>
      <c r="Y46" s="140"/>
      <c r="Z46" s="140"/>
      <c r="AG46" s="56"/>
      <c r="AH46" s="4"/>
      <c r="AI46" s="4"/>
      <c r="AJ46" s="4"/>
      <c r="AK46" s="4"/>
      <c r="AL46" s="4"/>
      <c r="AM46" s="4"/>
      <c r="AN46" s="151"/>
    </row>
    <row r="47" spans="1:40" ht="18.75" thickTop="1" thickBot="1">
      <c r="AG47" s="120"/>
      <c r="AH47" s="121"/>
      <c r="AI47" s="121"/>
      <c r="AJ47" s="121"/>
      <c r="AK47" s="121"/>
      <c r="AL47" s="121"/>
      <c r="AM47" s="121"/>
      <c r="AN47" s="152"/>
    </row>
    <row r="48" spans="1:40" ht="30" customHeight="1"/>
    <row r="49" spans="2:45" ht="30" customHeight="1"/>
    <row r="50" spans="2:45" ht="30" customHeight="1"/>
    <row r="51" spans="2:45" ht="30" customHeight="1"/>
    <row r="52" spans="2:45" ht="30" customHeight="1"/>
    <row r="53" spans="2:45" ht="30" customHeight="1"/>
    <row r="54" spans="2:45" ht="30" customHeight="1"/>
    <row r="55" spans="2:45" ht="30" customHeight="1"/>
    <row r="56" spans="2:45" ht="30" customHeight="1" thickBot="1"/>
    <row r="57" spans="2:45" ht="38.25" customHeight="1">
      <c r="B57" s="1086" t="s">
        <v>158</v>
      </c>
      <c r="C57" s="1087"/>
      <c r="D57" s="1087"/>
      <c r="E57" s="1087"/>
      <c r="F57" s="1087"/>
      <c r="G57" s="1087"/>
      <c r="H57" s="1087"/>
      <c r="I57" s="1087"/>
      <c r="J57" s="1087"/>
      <c r="K57" s="1087"/>
      <c r="L57" s="1087"/>
      <c r="M57" s="1087"/>
      <c r="N57" s="1087"/>
      <c r="O57" s="1087"/>
      <c r="P57" s="1087"/>
      <c r="Q57" s="1088"/>
      <c r="AH57" s="3"/>
      <c r="AS57" s="2"/>
    </row>
    <row r="58" spans="2:45">
      <c r="B58" s="56"/>
      <c r="C58" s="12"/>
      <c r="D58" s="12"/>
      <c r="E58" s="12"/>
      <c r="F58" s="12"/>
      <c r="G58" s="12"/>
      <c r="H58" s="12"/>
      <c r="I58" s="12"/>
      <c r="J58" s="50"/>
      <c r="K58" s="12"/>
      <c r="L58" s="12"/>
      <c r="M58" s="12"/>
      <c r="N58" s="12"/>
      <c r="O58" s="12"/>
      <c r="P58" s="94"/>
      <c r="Q58" s="245"/>
      <c r="AH58" s="3"/>
      <c r="AS58" s="2"/>
    </row>
    <row r="59" spans="2:45">
      <c r="B59" s="56"/>
      <c r="C59" s="12"/>
      <c r="D59" s="12"/>
      <c r="E59" s="12"/>
      <c r="F59" s="12"/>
      <c r="G59" s="12"/>
      <c r="H59" s="12"/>
      <c r="I59" s="12"/>
      <c r="J59" s="50"/>
      <c r="K59" s="12"/>
      <c r="L59" s="12"/>
      <c r="M59" s="12"/>
      <c r="N59" s="12"/>
      <c r="O59" s="12"/>
      <c r="P59" s="94"/>
      <c r="Q59" s="245"/>
      <c r="AH59" s="3"/>
      <c r="AS59" s="2"/>
    </row>
    <row r="60" spans="2:45" ht="29.25" customHeight="1">
      <c r="B60" s="56"/>
      <c r="C60" s="1082"/>
      <c r="D60" s="1082"/>
      <c r="E60" s="1082"/>
      <c r="F60" s="1082"/>
      <c r="G60" s="1082"/>
      <c r="H60" s="1082"/>
      <c r="I60" s="1082"/>
      <c r="J60" s="1082"/>
      <c r="K60" s="1082"/>
      <c r="L60" s="1082"/>
      <c r="M60" s="1082"/>
      <c r="N60" s="1082"/>
      <c r="O60" s="12"/>
      <c r="P60" s="94"/>
      <c r="Q60" s="245"/>
      <c r="AH60" s="3"/>
      <c r="AS60" s="2"/>
    </row>
    <row r="61" spans="2:45" ht="29.25" customHeight="1" thickBot="1">
      <c r="B61" s="246"/>
      <c r="C61" s="247" t="s">
        <v>16</v>
      </c>
      <c r="D61" s="4"/>
      <c r="E61" s="4"/>
      <c r="F61" s="4"/>
      <c r="G61" s="4"/>
      <c r="H61" s="12"/>
      <c r="I61" s="248"/>
      <c r="J61" s="248"/>
      <c r="K61" s="248"/>
      <c r="L61" s="248"/>
      <c r="M61" s="12"/>
      <c r="N61" s="12"/>
      <c r="O61" s="12"/>
      <c r="P61" s="94"/>
      <c r="Q61" s="245"/>
      <c r="S61" s="12"/>
      <c r="AH61" s="3"/>
      <c r="AS61" s="2"/>
    </row>
    <row r="62" spans="2:45" ht="29.25" customHeight="1" thickTop="1">
      <c r="B62" s="246"/>
      <c r="C62" s="1080"/>
      <c r="D62" s="1081"/>
      <c r="E62" s="943" t="s">
        <v>19</v>
      </c>
      <c r="F62" s="943"/>
      <c r="G62" s="908">
        <v>7</v>
      </c>
      <c r="H62" s="1083"/>
      <c r="I62" s="1084"/>
      <c r="J62" s="908">
        <v>5</v>
      </c>
      <c r="K62" s="1089"/>
      <c r="L62" s="1089"/>
      <c r="M62" s="1089"/>
      <c r="N62" s="908">
        <v>2</v>
      </c>
      <c r="O62" s="909"/>
      <c r="P62" s="910"/>
      <c r="Q62" s="13"/>
      <c r="R62" s="12"/>
      <c r="S62" s="94"/>
      <c r="AH62" s="3"/>
      <c r="AS62" s="2"/>
    </row>
    <row r="63" spans="2:45" ht="29.25" customHeight="1">
      <c r="B63" s="246"/>
      <c r="C63" s="936" t="s">
        <v>0</v>
      </c>
      <c r="D63" s="937"/>
      <c r="E63" s="956">
        <v>8.98</v>
      </c>
      <c r="F63" s="956"/>
      <c r="G63" s="927"/>
      <c r="H63" s="966"/>
      <c r="I63" s="967"/>
      <c r="J63" s="927"/>
      <c r="K63" s="928"/>
      <c r="L63" s="928"/>
      <c r="M63" s="928"/>
      <c r="N63" s="927"/>
      <c r="O63" s="928"/>
      <c r="P63" s="929"/>
      <c r="Q63" s="13"/>
      <c r="R63" s="12"/>
      <c r="S63" s="94"/>
      <c r="AH63" s="3"/>
      <c r="AS63" s="2"/>
    </row>
    <row r="64" spans="2:45" ht="29.25" customHeight="1">
      <c r="B64" s="246"/>
      <c r="C64" s="936" t="s">
        <v>17</v>
      </c>
      <c r="D64" s="937"/>
      <c r="E64" s="900">
        <v>26060</v>
      </c>
      <c r="F64" s="900"/>
      <c r="G64" s="917">
        <f>ROUNDUP(E64*G62/10,-1)</f>
        <v>18250</v>
      </c>
      <c r="H64" s="964"/>
      <c r="I64" s="965"/>
      <c r="J64" s="917">
        <f>ROUNDUP(E64*J62/10,-1)</f>
        <v>13030</v>
      </c>
      <c r="K64" s="918"/>
      <c r="L64" s="918"/>
      <c r="M64" s="918"/>
      <c r="N64" s="917">
        <f>ROUNDUP(E64*N62/10,-1)</f>
        <v>5220</v>
      </c>
      <c r="O64" s="918"/>
      <c r="P64" s="919"/>
      <c r="Q64" s="13"/>
      <c r="R64" s="12"/>
      <c r="S64" s="94"/>
      <c r="AH64" s="3"/>
      <c r="AS64" s="2"/>
    </row>
    <row r="65" spans="2:45" ht="29.25" customHeight="1">
      <c r="B65" s="246"/>
      <c r="C65" s="936" t="s">
        <v>1</v>
      </c>
      <c r="D65" s="937"/>
      <c r="E65" s="900">
        <v>27270</v>
      </c>
      <c r="F65" s="901"/>
      <c r="G65" s="917">
        <f>ROUNDUP(E65*G62/10,-1)</f>
        <v>19090</v>
      </c>
      <c r="H65" s="964"/>
      <c r="I65" s="965"/>
      <c r="J65" s="917">
        <f>ROUNDUP(E65*J62/10,-1)</f>
        <v>13640</v>
      </c>
      <c r="K65" s="918"/>
      <c r="L65" s="918"/>
      <c r="M65" s="918"/>
      <c r="N65" s="917">
        <f>ROUNDUP(E65*N62/10,-1)</f>
        <v>5460</v>
      </c>
      <c r="O65" s="918"/>
      <c r="P65" s="919"/>
      <c r="Q65" s="13"/>
      <c r="R65" s="12"/>
      <c r="S65" s="94"/>
      <c r="AH65" s="3"/>
      <c r="AS65" s="2"/>
    </row>
    <row r="66" spans="2:45" ht="29.25" customHeight="1">
      <c r="B66" s="246"/>
      <c r="C66" s="936" t="s">
        <v>18</v>
      </c>
      <c r="D66" s="937"/>
      <c r="E66" s="900">
        <v>670000</v>
      </c>
      <c r="F66" s="901"/>
      <c r="G66" s="927"/>
      <c r="H66" s="966"/>
      <c r="I66" s="967"/>
      <c r="J66" s="927"/>
      <c r="K66" s="928"/>
      <c r="L66" s="928"/>
      <c r="M66" s="928"/>
      <c r="N66" s="927"/>
      <c r="O66" s="928"/>
      <c r="P66" s="929"/>
      <c r="Q66" s="13"/>
      <c r="R66" s="12"/>
      <c r="S66" s="94"/>
      <c r="AH66" s="3"/>
      <c r="AS66" s="2"/>
    </row>
    <row r="67" spans="2:45" ht="29.25" customHeight="1">
      <c r="B67" s="246"/>
      <c r="C67" s="938" t="s">
        <v>21</v>
      </c>
      <c r="D67" s="939"/>
      <c r="E67" s="957">
        <v>430000</v>
      </c>
      <c r="F67" s="958"/>
      <c r="G67" s="905"/>
      <c r="H67" s="968"/>
      <c r="I67" s="969"/>
      <c r="J67" s="905"/>
      <c r="K67" s="906"/>
      <c r="L67" s="906"/>
      <c r="M67" s="906"/>
      <c r="N67" s="905"/>
      <c r="O67" s="906"/>
      <c r="P67" s="907"/>
      <c r="Q67" s="13"/>
      <c r="R67" s="12"/>
      <c r="S67" s="94"/>
      <c r="AH67" s="3"/>
      <c r="AS67" s="2"/>
    </row>
    <row r="68" spans="2:45" ht="28.5" customHeight="1" thickBot="1">
      <c r="B68" s="246"/>
      <c r="C68" s="933" t="s">
        <v>340</v>
      </c>
      <c r="D68" s="934"/>
      <c r="E68" s="920">
        <f>ROUNDUP(E64/2,-1)</f>
        <v>13030</v>
      </c>
      <c r="F68" s="921"/>
      <c r="G68" s="922">
        <v>3900</v>
      </c>
      <c r="H68" s="923"/>
      <c r="I68" s="924"/>
      <c r="J68" s="922">
        <v>6510</v>
      </c>
      <c r="K68" s="925"/>
      <c r="L68" s="925"/>
      <c r="M68" s="925"/>
      <c r="N68" s="922">
        <f>ROUNDUP((E64-N64)*0.5,-1)</f>
        <v>10420</v>
      </c>
      <c r="O68" s="925"/>
      <c r="P68" s="926"/>
      <c r="Q68" s="245"/>
      <c r="AH68" s="3"/>
      <c r="AS68" s="2"/>
    </row>
    <row r="69" spans="2:45" ht="18" thickTop="1">
      <c r="B69" s="246"/>
      <c r="C69" s="4"/>
      <c r="D69" s="74"/>
      <c r="E69" s="84"/>
      <c r="F69" s="84"/>
      <c r="G69" s="84"/>
      <c r="H69" s="12"/>
      <c r="I69" s="248"/>
      <c r="J69" s="248"/>
      <c r="K69" s="248"/>
      <c r="L69" s="248"/>
      <c r="M69" s="12"/>
      <c r="N69" s="12"/>
      <c r="O69" s="12"/>
      <c r="P69" s="94"/>
      <c r="Q69" s="245"/>
      <c r="AH69" s="3"/>
      <c r="AS69" s="2"/>
    </row>
    <row r="70" spans="2:45" ht="24.75" thickBot="1">
      <c r="B70" s="246"/>
      <c r="C70" s="940" t="s">
        <v>162</v>
      </c>
      <c r="D70" s="940"/>
      <c r="E70" s="940"/>
      <c r="F70" s="940"/>
      <c r="G70" s="940"/>
      <c r="H70" s="940"/>
      <c r="I70" s="940"/>
      <c r="J70" s="940"/>
      <c r="K70" s="940"/>
      <c r="L70" s="940"/>
      <c r="M70" s="940"/>
      <c r="N70" s="940"/>
      <c r="O70" s="12"/>
      <c r="P70" s="94"/>
      <c r="Q70" s="245"/>
      <c r="AH70" s="3"/>
      <c r="AS70" s="2"/>
    </row>
    <row r="71" spans="2:45" ht="29.25" customHeight="1" thickTop="1">
      <c r="B71" s="246"/>
      <c r="C71" s="941"/>
      <c r="D71" s="942"/>
      <c r="E71" s="943" t="s">
        <v>19</v>
      </c>
      <c r="F71" s="942"/>
      <c r="G71" s="911">
        <v>7</v>
      </c>
      <c r="H71" s="912"/>
      <c r="I71" s="912"/>
      <c r="J71" s="911">
        <v>5</v>
      </c>
      <c r="K71" s="912"/>
      <c r="L71" s="912"/>
      <c r="M71" s="912"/>
      <c r="N71" s="908">
        <v>2</v>
      </c>
      <c r="O71" s="909"/>
      <c r="P71" s="910"/>
      <c r="Q71" s="245"/>
      <c r="AH71" s="3"/>
      <c r="AS71" s="2"/>
    </row>
    <row r="72" spans="2:45" ht="29.25" customHeight="1">
      <c r="B72" s="246"/>
      <c r="C72" s="936" t="s">
        <v>0</v>
      </c>
      <c r="D72" s="954"/>
      <c r="E72" s="956">
        <v>2.96</v>
      </c>
      <c r="F72" s="901"/>
      <c r="G72" s="915"/>
      <c r="H72" s="916"/>
      <c r="I72" s="916"/>
      <c r="J72" s="915"/>
      <c r="K72" s="916"/>
      <c r="L72" s="916"/>
      <c r="M72" s="916"/>
      <c r="N72" s="927"/>
      <c r="O72" s="928"/>
      <c r="P72" s="929"/>
      <c r="Q72" s="245"/>
      <c r="AH72" s="3"/>
      <c r="AS72" s="2"/>
    </row>
    <row r="73" spans="2:45" ht="29.25" customHeight="1">
      <c r="B73" s="246"/>
      <c r="C73" s="936" t="s">
        <v>17</v>
      </c>
      <c r="D73" s="954"/>
      <c r="E73" s="900">
        <v>9190</v>
      </c>
      <c r="F73" s="901"/>
      <c r="G73" s="898">
        <f>ROUNDUP(E73*G71/10,-1)</f>
        <v>6440</v>
      </c>
      <c r="H73" s="899"/>
      <c r="I73" s="899"/>
      <c r="J73" s="898">
        <f>ROUNDUP(E73*J71/10,-1)</f>
        <v>4600</v>
      </c>
      <c r="K73" s="899"/>
      <c r="L73" s="899"/>
      <c r="M73" s="899"/>
      <c r="N73" s="917">
        <f>ROUNDUP(E73*N71/10,-1)</f>
        <v>1840</v>
      </c>
      <c r="O73" s="918"/>
      <c r="P73" s="919"/>
      <c r="Q73" s="245"/>
      <c r="AH73" s="3"/>
      <c r="AS73" s="2"/>
    </row>
    <row r="74" spans="2:45" ht="29.25" customHeight="1">
      <c r="B74" s="246"/>
      <c r="C74" s="936" t="s">
        <v>1</v>
      </c>
      <c r="D74" s="954"/>
      <c r="E74" s="900">
        <v>9300</v>
      </c>
      <c r="F74" s="901"/>
      <c r="G74" s="898">
        <f>ROUNDUP(E74*G71/10,-1)</f>
        <v>6510</v>
      </c>
      <c r="H74" s="899"/>
      <c r="I74" s="899"/>
      <c r="J74" s="898">
        <f>ROUNDUP(E74*J71/10,-1)</f>
        <v>4650</v>
      </c>
      <c r="K74" s="899"/>
      <c r="L74" s="899"/>
      <c r="M74" s="899"/>
      <c r="N74" s="917">
        <f>ROUNDUP(E74*N71/10,-1)</f>
        <v>1860</v>
      </c>
      <c r="O74" s="918"/>
      <c r="P74" s="919"/>
      <c r="Q74" s="245"/>
      <c r="AH74" s="3"/>
      <c r="AS74" s="2"/>
    </row>
    <row r="75" spans="2:45" ht="28.5" customHeight="1">
      <c r="B75" s="246"/>
      <c r="C75" s="936" t="s">
        <v>18</v>
      </c>
      <c r="D75" s="954"/>
      <c r="E75" s="900">
        <v>260000</v>
      </c>
      <c r="F75" s="901"/>
      <c r="G75" s="915"/>
      <c r="H75" s="916"/>
      <c r="I75" s="916"/>
      <c r="J75" s="915"/>
      <c r="K75" s="916"/>
      <c r="L75" s="916"/>
      <c r="M75" s="916"/>
      <c r="N75" s="927"/>
      <c r="O75" s="928"/>
      <c r="P75" s="929"/>
      <c r="Q75" s="245"/>
      <c r="AH75" s="3"/>
      <c r="AS75" s="2"/>
    </row>
    <row r="76" spans="2:45" ht="29.25" customHeight="1">
      <c r="B76" s="246"/>
      <c r="C76" s="938" t="s">
        <v>21</v>
      </c>
      <c r="D76" s="955"/>
      <c r="E76" s="957">
        <v>430000</v>
      </c>
      <c r="F76" s="958"/>
      <c r="G76" s="959"/>
      <c r="H76" s="960"/>
      <c r="I76" s="960"/>
      <c r="J76" s="959"/>
      <c r="K76" s="960"/>
      <c r="L76" s="960"/>
      <c r="M76" s="960"/>
      <c r="N76" s="905"/>
      <c r="O76" s="906"/>
      <c r="P76" s="907"/>
      <c r="Q76" s="245"/>
      <c r="AH76" s="3"/>
      <c r="AS76" s="2"/>
    </row>
    <row r="77" spans="2:45" ht="29.25" customHeight="1" thickBot="1">
      <c r="B77" s="246"/>
      <c r="C77" s="933" t="s">
        <v>340</v>
      </c>
      <c r="D77" s="934"/>
      <c r="E77" s="920">
        <v>4590</v>
      </c>
      <c r="F77" s="921"/>
      <c r="G77" s="922">
        <v>1370</v>
      </c>
      <c r="H77" s="923"/>
      <c r="I77" s="924"/>
      <c r="J77" s="922">
        <v>2290</v>
      </c>
      <c r="K77" s="925"/>
      <c r="L77" s="925"/>
      <c r="M77" s="925"/>
      <c r="N77" s="922">
        <v>3670</v>
      </c>
      <c r="O77" s="925"/>
      <c r="P77" s="926"/>
      <c r="Q77" s="245"/>
      <c r="AH77" s="3"/>
      <c r="AS77" s="2"/>
    </row>
    <row r="78" spans="2:45" ht="18" thickTop="1">
      <c r="B78" s="246"/>
      <c r="C78" s="4"/>
      <c r="D78" s="4"/>
      <c r="E78" s="4"/>
      <c r="F78" s="4"/>
      <c r="G78" s="4"/>
      <c r="H78" s="12"/>
      <c r="I78" s="248"/>
      <c r="J78" s="248"/>
      <c r="K78" s="248"/>
      <c r="L78" s="248"/>
      <c r="M78" s="12"/>
      <c r="N78" s="12"/>
      <c r="O78" s="12"/>
      <c r="P78" s="94"/>
      <c r="Q78" s="245"/>
      <c r="AH78" s="3"/>
      <c r="AS78" s="2"/>
    </row>
    <row r="79" spans="2:45" ht="24.75" thickBot="1">
      <c r="B79" s="246"/>
      <c r="C79" s="940" t="s">
        <v>398</v>
      </c>
      <c r="D79" s="940"/>
      <c r="E79" s="940"/>
      <c r="F79" s="940"/>
      <c r="G79" s="940"/>
      <c r="H79" s="940"/>
      <c r="I79" s="940"/>
      <c r="J79" s="940"/>
      <c r="K79" s="940"/>
      <c r="L79" s="940"/>
      <c r="M79" s="940"/>
      <c r="N79" s="940"/>
      <c r="O79" s="12"/>
      <c r="P79" s="94"/>
      <c r="Q79" s="245"/>
      <c r="AH79" s="3"/>
      <c r="AS79" s="2"/>
    </row>
    <row r="80" spans="2:45" ht="29.25" customHeight="1" thickTop="1">
      <c r="B80" s="246"/>
      <c r="C80" s="941"/>
      <c r="D80" s="942"/>
      <c r="E80" s="943" t="s">
        <v>19</v>
      </c>
      <c r="F80" s="942"/>
      <c r="G80" s="911">
        <v>7</v>
      </c>
      <c r="H80" s="912"/>
      <c r="I80" s="912"/>
      <c r="J80" s="911">
        <v>5</v>
      </c>
      <c r="K80" s="912"/>
      <c r="L80" s="912"/>
      <c r="M80" s="912"/>
      <c r="N80" s="908">
        <v>2</v>
      </c>
      <c r="O80" s="909"/>
      <c r="P80" s="910"/>
      <c r="Q80" s="245"/>
      <c r="AH80" s="3"/>
      <c r="AS80" s="2"/>
    </row>
    <row r="81" spans="2:45" ht="29.25" customHeight="1">
      <c r="B81" s="246"/>
      <c r="C81" s="936" t="s">
        <v>0</v>
      </c>
      <c r="D81" s="954"/>
      <c r="E81" s="956">
        <v>0.31</v>
      </c>
      <c r="F81" s="901"/>
      <c r="G81" s="915"/>
      <c r="H81" s="916"/>
      <c r="I81" s="916"/>
      <c r="J81" s="915"/>
      <c r="K81" s="916"/>
      <c r="L81" s="916"/>
      <c r="M81" s="916"/>
      <c r="N81" s="927"/>
      <c r="O81" s="928"/>
      <c r="P81" s="929"/>
      <c r="Q81" s="245"/>
      <c r="AH81" s="3"/>
      <c r="AS81" s="2"/>
    </row>
    <row r="82" spans="2:45" ht="29.25" customHeight="1">
      <c r="B82" s="246"/>
      <c r="C82" s="1091" t="s">
        <v>17</v>
      </c>
      <c r="D82" s="1092"/>
      <c r="E82" s="900">
        <v>930</v>
      </c>
      <c r="F82" s="901"/>
      <c r="G82" s="898">
        <f>ROUNDUP(E82*$G80/10,-1)</f>
        <v>660</v>
      </c>
      <c r="H82" s="899"/>
      <c r="I82" s="899"/>
      <c r="J82" s="898">
        <f>ROUNDUP(E82*J80/10,-1)</f>
        <v>470</v>
      </c>
      <c r="K82" s="899"/>
      <c r="L82" s="899"/>
      <c r="M82" s="899"/>
      <c r="N82" s="917">
        <f>ROUNDUP(E82*N80/10,-1)</f>
        <v>190</v>
      </c>
      <c r="O82" s="918"/>
      <c r="P82" s="919"/>
      <c r="Q82" s="245"/>
      <c r="AH82" s="3"/>
      <c r="AS82" s="2"/>
    </row>
    <row r="83" spans="2:45" ht="29.25" customHeight="1">
      <c r="B83" s="246"/>
      <c r="C83" s="1091" t="s">
        <v>436</v>
      </c>
      <c r="D83" s="1092"/>
      <c r="E83" s="900">
        <v>50</v>
      </c>
      <c r="F83" s="901"/>
      <c r="G83" s="898">
        <f>ROUNDUP(E83*G80/10,-1)</f>
        <v>40</v>
      </c>
      <c r="H83" s="899"/>
      <c r="I83" s="899"/>
      <c r="J83" s="898">
        <f>ROUNDUP(E83*J80/10,-1)</f>
        <v>30</v>
      </c>
      <c r="K83" s="899"/>
      <c r="L83" s="899"/>
      <c r="M83" s="899"/>
      <c r="N83" s="917">
        <f>ROUNDUP(E83*N80/10,-1)</f>
        <v>10</v>
      </c>
      <c r="O83" s="918"/>
      <c r="P83" s="919"/>
      <c r="Q83" s="245"/>
      <c r="AH83" s="3"/>
      <c r="AS83" s="2"/>
    </row>
    <row r="84" spans="2:45" ht="29.25" customHeight="1">
      <c r="B84" s="246"/>
      <c r="C84" s="936" t="s">
        <v>1</v>
      </c>
      <c r="D84" s="954"/>
      <c r="E84" s="900">
        <v>940</v>
      </c>
      <c r="F84" s="901"/>
      <c r="G84" s="898">
        <f>ROUNDUP(E84*G80/10,-1)</f>
        <v>660</v>
      </c>
      <c r="H84" s="899"/>
      <c r="I84" s="899"/>
      <c r="J84" s="898">
        <f>ROUNDUP(E84*J80/10,-1)</f>
        <v>470</v>
      </c>
      <c r="K84" s="899"/>
      <c r="L84" s="899"/>
      <c r="M84" s="899"/>
      <c r="N84" s="917">
        <f>ROUNDUP(E84*N80/10,-1)</f>
        <v>190</v>
      </c>
      <c r="O84" s="918"/>
      <c r="P84" s="919"/>
      <c r="Q84" s="245"/>
      <c r="AH84" s="3"/>
      <c r="AS84" s="2"/>
    </row>
    <row r="85" spans="2:45" ht="28.5" customHeight="1">
      <c r="B85" s="246"/>
      <c r="C85" s="936" t="s">
        <v>18</v>
      </c>
      <c r="D85" s="954"/>
      <c r="E85" s="900">
        <v>30000</v>
      </c>
      <c r="F85" s="901"/>
      <c r="G85" s="915"/>
      <c r="H85" s="916"/>
      <c r="I85" s="916"/>
      <c r="J85" s="915"/>
      <c r="K85" s="916"/>
      <c r="L85" s="916"/>
      <c r="M85" s="916"/>
      <c r="N85" s="927"/>
      <c r="O85" s="928"/>
      <c r="P85" s="929"/>
      <c r="Q85" s="245"/>
      <c r="AH85" s="3"/>
      <c r="AS85" s="2"/>
    </row>
    <row r="86" spans="2:45" ht="29.25" customHeight="1">
      <c r="B86" s="246"/>
      <c r="C86" s="938" t="s">
        <v>21</v>
      </c>
      <c r="D86" s="955"/>
      <c r="E86" s="957">
        <v>430000</v>
      </c>
      <c r="F86" s="958"/>
      <c r="G86" s="959"/>
      <c r="H86" s="960"/>
      <c r="I86" s="960"/>
      <c r="J86" s="959"/>
      <c r="K86" s="960"/>
      <c r="L86" s="960"/>
      <c r="M86" s="960"/>
      <c r="N86" s="905"/>
      <c r="O86" s="906"/>
      <c r="P86" s="907"/>
      <c r="Q86" s="245"/>
      <c r="AH86" s="3"/>
      <c r="AS86" s="2"/>
    </row>
    <row r="87" spans="2:45" ht="29.25" customHeight="1" thickBot="1">
      <c r="B87" s="246"/>
      <c r="C87" s="933" t="s">
        <v>340</v>
      </c>
      <c r="D87" s="934"/>
      <c r="E87" s="920">
        <v>460</v>
      </c>
      <c r="F87" s="921"/>
      <c r="G87" s="922">
        <v>130</v>
      </c>
      <c r="H87" s="923"/>
      <c r="I87" s="924"/>
      <c r="J87" s="922">
        <v>230</v>
      </c>
      <c r="K87" s="925"/>
      <c r="L87" s="925"/>
      <c r="M87" s="925"/>
      <c r="N87" s="922">
        <f>ROUNDUP((E82-N82)*0.5,-1)</f>
        <v>370</v>
      </c>
      <c r="O87" s="925"/>
      <c r="P87" s="926"/>
      <c r="Q87" s="245"/>
      <c r="AH87" s="3"/>
      <c r="AS87" s="2"/>
    </row>
    <row r="88" spans="2:45" ht="29.25" customHeight="1" thickTop="1">
      <c r="B88" s="246"/>
      <c r="C88" s="656"/>
      <c r="D88" s="656"/>
      <c r="E88" s="651"/>
      <c r="F88" s="652"/>
      <c r="G88" s="653"/>
      <c r="H88" s="654"/>
      <c r="I88" s="655"/>
      <c r="J88" s="653"/>
      <c r="K88" s="655"/>
      <c r="L88" s="655"/>
      <c r="M88" s="655"/>
      <c r="N88" s="653"/>
      <c r="O88" s="655"/>
      <c r="P88" s="655"/>
      <c r="Q88" s="245"/>
      <c r="AH88" s="3"/>
      <c r="AS88" s="2"/>
    </row>
    <row r="89" spans="2:45" ht="24.75" thickBot="1">
      <c r="B89" s="246"/>
      <c r="C89" s="940" t="s">
        <v>20</v>
      </c>
      <c r="D89" s="940"/>
      <c r="E89" s="940"/>
      <c r="F89" s="940"/>
      <c r="G89" s="940"/>
      <c r="H89" s="940"/>
      <c r="I89" s="940"/>
      <c r="J89" s="940"/>
      <c r="K89" s="940"/>
      <c r="L89" s="940"/>
      <c r="M89" s="940"/>
      <c r="N89" s="940"/>
      <c r="O89" s="12"/>
      <c r="P89" s="94"/>
      <c r="Q89" s="245"/>
      <c r="AH89" s="3"/>
      <c r="AS89" s="2"/>
    </row>
    <row r="90" spans="2:45" ht="29.25" customHeight="1" thickTop="1">
      <c r="B90" s="246"/>
      <c r="C90" s="941"/>
      <c r="D90" s="942"/>
      <c r="E90" s="943" t="s">
        <v>19</v>
      </c>
      <c r="F90" s="942"/>
      <c r="G90" s="911">
        <v>7</v>
      </c>
      <c r="H90" s="912"/>
      <c r="I90" s="912"/>
      <c r="J90" s="911">
        <v>5</v>
      </c>
      <c r="K90" s="912"/>
      <c r="L90" s="912"/>
      <c r="M90" s="912"/>
      <c r="N90" s="908">
        <v>2</v>
      </c>
      <c r="O90" s="909"/>
      <c r="P90" s="910"/>
      <c r="Q90" s="245"/>
      <c r="AH90" s="3"/>
      <c r="AS90" s="2"/>
    </row>
    <row r="91" spans="2:45" ht="29.25" customHeight="1">
      <c r="B91" s="246"/>
      <c r="C91" s="936" t="s">
        <v>0</v>
      </c>
      <c r="D91" s="954"/>
      <c r="E91" s="956">
        <v>2.69</v>
      </c>
      <c r="F91" s="901"/>
      <c r="G91" s="915"/>
      <c r="H91" s="916"/>
      <c r="I91" s="916"/>
      <c r="J91" s="915"/>
      <c r="K91" s="916"/>
      <c r="L91" s="916"/>
      <c r="M91" s="916"/>
      <c r="N91" s="927"/>
      <c r="O91" s="928"/>
      <c r="P91" s="929"/>
      <c r="Q91" s="245"/>
      <c r="AH91" s="3"/>
      <c r="AS91" s="2"/>
    </row>
    <row r="92" spans="2:45" ht="29.25" customHeight="1">
      <c r="B92" s="246"/>
      <c r="C92" s="936" t="s">
        <v>17</v>
      </c>
      <c r="D92" s="954"/>
      <c r="E92" s="900">
        <v>7760</v>
      </c>
      <c r="F92" s="901"/>
      <c r="G92" s="898">
        <f>ROUNDUP(E92*G90/10,-1)</f>
        <v>5440</v>
      </c>
      <c r="H92" s="899"/>
      <c r="I92" s="899"/>
      <c r="J92" s="898">
        <f>ROUNDUP(E92*J90/10,-1)</f>
        <v>3880</v>
      </c>
      <c r="K92" s="899"/>
      <c r="L92" s="899"/>
      <c r="M92" s="899"/>
      <c r="N92" s="917">
        <f>ROUNDUP(E92*N90/10,-1)</f>
        <v>1560</v>
      </c>
      <c r="O92" s="918"/>
      <c r="P92" s="919"/>
      <c r="Q92" s="245"/>
      <c r="AH92" s="3"/>
      <c r="AS92" s="2"/>
    </row>
    <row r="93" spans="2:45" ht="29.25" customHeight="1">
      <c r="B93" s="246"/>
      <c r="C93" s="936" t="s">
        <v>1</v>
      </c>
      <c r="D93" s="954"/>
      <c r="E93" s="900">
        <v>6100</v>
      </c>
      <c r="F93" s="901"/>
      <c r="G93" s="898">
        <f>ROUNDUP(E93*G90/10,-1)</f>
        <v>4270</v>
      </c>
      <c r="H93" s="899"/>
      <c r="I93" s="899"/>
      <c r="J93" s="898">
        <f>ROUNDUP(E93*J90/10,-1)</f>
        <v>3050</v>
      </c>
      <c r="K93" s="899"/>
      <c r="L93" s="899"/>
      <c r="M93" s="899"/>
      <c r="N93" s="917">
        <f>ROUNDUP(E93*N90/10,-1)</f>
        <v>1220</v>
      </c>
      <c r="O93" s="918"/>
      <c r="P93" s="919"/>
      <c r="Q93" s="245"/>
      <c r="AH93" s="3"/>
      <c r="AS93" s="2"/>
    </row>
    <row r="94" spans="2:45" ht="29.25" customHeight="1">
      <c r="B94" s="246"/>
      <c r="C94" s="936" t="s">
        <v>18</v>
      </c>
      <c r="D94" s="954"/>
      <c r="E94" s="900">
        <v>170000</v>
      </c>
      <c r="F94" s="901"/>
      <c r="G94" s="915"/>
      <c r="H94" s="916"/>
      <c r="I94" s="916"/>
      <c r="J94" s="915"/>
      <c r="K94" s="916"/>
      <c r="L94" s="916"/>
      <c r="M94" s="916"/>
      <c r="N94" s="927"/>
      <c r="O94" s="928"/>
      <c r="P94" s="929"/>
      <c r="Q94" s="245"/>
      <c r="AH94" s="3"/>
      <c r="AS94" s="2"/>
    </row>
    <row r="95" spans="2:45" ht="29.25" customHeight="1" thickBot="1">
      <c r="B95" s="246"/>
      <c r="C95" s="933" t="s">
        <v>21</v>
      </c>
      <c r="D95" s="961"/>
      <c r="E95" s="962">
        <v>430000</v>
      </c>
      <c r="F95" s="963"/>
      <c r="G95" s="913"/>
      <c r="H95" s="914"/>
      <c r="I95" s="914"/>
      <c r="J95" s="913"/>
      <c r="K95" s="914"/>
      <c r="L95" s="914"/>
      <c r="M95" s="914"/>
      <c r="N95" s="902"/>
      <c r="O95" s="903"/>
      <c r="P95" s="904"/>
      <c r="Q95" s="245"/>
      <c r="AH95" s="3"/>
      <c r="AS95" s="2"/>
    </row>
    <row r="96" spans="2:45" ht="18" thickTop="1">
      <c r="B96" s="246"/>
      <c r="C96" s="4"/>
      <c r="D96" s="4"/>
      <c r="E96" s="4"/>
      <c r="F96" s="4"/>
      <c r="G96" s="4"/>
      <c r="H96" s="12"/>
      <c r="I96" s="248"/>
      <c r="J96" s="248"/>
      <c r="K96" s="248"/>
      <c r="L96" s="248"/>
      <c r="M96" s="12"/>
      <c r="N96" s="12"/>
      <c r="O96" s="12"/>
      <c r="P96" s="94"/>
      <c r="Q96" s="245"/>
      <c r="AH96" s="3"/>
      <c r="AS96" s="2"/>
    </row>
    <row r="97" spans="2:45">
      <c r="B97" s="246"/>
      <c r="C97" s="4"/>
      <c r="D97" s="4"/>
      <c r="E97" s="4"/>
      <c r="F97" s="4"/>
      <c r="G97" s="4"/>
      <c r="H97" s="12"/>
      <c r="I97" s="248"/>
      <c r="J97" s="248"/>
      <c r="K97" s="248"/>
      <c r="L97" s="248"/>
      <c r="M97" s="12"/>
      <c r="N97" s="12"/>
      <c r="O97" s="12"/>
      <c r="P97" s="94"/>
      <c r="Q97" s="245"/>
      <c r="AH97" s="3"/>
      <c r="AS97" s="2"/>
    </row>
    <row r="98" spans="2:45" ht="18" thickBot="1">
      <c r="B98" s="120"/>
      <c r="C98" s="122"/>
      <c r="D98" s="122"/>
      <c r="E98" s="122"/>
      <c r="F98" s="122"/>
      <c r="G98" s="122"/>
      <c r="H98" s="122"/>
      <c r="I98" s="122"/>
      <c r="J98" s="249"/>
      <c r="K98" s="122"/>
      <c r="L98" s="122"/>
      <c r="M98" s="122"/>
      <c r="N98" s="122"/>
      <c r="O98" s="122"/>
      <c r="P98" s="251"/>
      <c r="Q98" s="250"/>
      <c r="AH98" s="3"/>
      <c r="AS98" s="2"/>
    </row>
  </sheetData>
  <sheetProtection selectLockedCells="1"/>
  <protectedRanges>
    <protectedRange sqref="A12:E46 L12:T46 F12:K14 F16:K19 F21:K24 F26:K29 F31:K34 F36:K39 F41:K44 F46:K46 I15:K15 I20:K20 I25:K25 I30:K30 I35:K35 I40:K40 I45:K45" name="範囲2"/>
    <protectedRange sqref="A9:E9 G9:H10 P10:Q10 R7:T8 Q5:S6 W10:W11" name="範囲1"/>
  </protectedRanges>
  <mergeCells count="353">
    <mergeCell ref="C87:D87"/>
    <mergeCell ref="E87:F87"/>
    <mergeCell ref="G87:I87"/>
    <mergeCell ref="J87:M87"/>
    <mergeCell ref="N87:P87"/>
    <mergeCell ref="C85:D85"/>
    <mergeCell ref="E85:F85"/>
    <mergeCell ref="G85:I85"/>
    <mergeCell ref="J85:M85"/>
    <mergeCell ref="N85:P85"/>
    <mergeCell ref="C86:D86"/>
    <mergeCell ref="E86:F86"/>
    <mergeCell ref="G86:I86"/>
    <mergeCell ref="J86:M86"/>
    <mergeCell ref="N86:P86"/>
    <mergeCell ref="C82:D82"/>
    <mergeCell ref="E82:F82"/>
    <mergeCell ref="G82:I82"/>
    <mergeCell ref="J82:M82"/>
    <mergeCell ref="N82:P82"/>
    <mergeCell ref="C84:D84"/>
    <mergeCell ref="E84:F84"/>
    <mergeCell ref="G84:I84"/>
    <mergeCell ref="J84:M84"/>
    <mergeCell ref="N84:P84"/>
    <mergeCell ref="C83:D83"/>
    <mergeCell ref="E83:F83"/>
    <mergeCell ref="G83:I83"/>
    <mergeCell ref="J83:M83"/>
    <mergeCell ref="N83:P83"/>
    <mergeCell ref="C79:N79"/>
    <mergeCell ref="C80:D80"/>
    <mergeCell ref="E80:F80"/>
    <mergeCell ref="G80:I80"/>
    <mergeCell ref="J80:M80"/>
    <mergeCell ref="N80:P80"/>
    <mergeCell ref="C81:D81"/>
    <mergeCell ref="E81:F81"/>
    <mergeCell ref="G81:I81"/>
    <mergeCell ref="J81:M81"/>
    <mergeCell ref="N81:P81"/>
    <mergeCell ref="C63:D63"/>
    <mergeCell ref="C64:D64"/>
    <mergeCell ref="F42:K42"/>
    <mergeCell ref="J63:M63"/>
    <mergeCell ref="C60:N60"/>
    <mergeCell ref="G62:I62"/>
    <mergeCell ref="B45:B46"/>
    <mergeCell ref="B57:Q57"/>
    <mergeCell ref="E62:F62"/>
    <mergeCell ref="J62:M62"/>
    <mergeCell ref="L43:M46"/>
    <mergeCell ref="N62:P62"/>
    <mergeCell ref="G64:I64"/>
    <mergeCell ref="E63:F63"/>
    <mergeCell ref="E64:F64"/>
    <mergeCell ref="G63:I63"/>
    <mergeCell ref="N63:P63"/>
    <mergeCell ref="E1:P2"/>
    <mergeCell ref="A7:L7"/>
    <mergeCell ref="A8:L8"/>
    <mergeCell ref="L42:P42"/>
    <mergeCell ref="F27:K27"/>
    <mergeCell ref="N64:P64"/>
    <mergeCell ref="J64:M64"/>
    <mergeCell ref="A37:A41"/>
    <mergeCell ref="F28:H28"/>
    <mergeCell ref="B27:B29"/>
    <mergeCell ref="F36:K36"/>
    <mergeCell ref="F32:K32"/>
    <mergeCell ref="L27:P27"/>
    <mergeCell ref="A32:A36"/>
    <mergeCell ref="B32:B34"/>
    <mergeCell ref="B35:B36"/>
    <mergeCell ref="B40:B41"/>
    <mergeCell ref="N33:P36"/>
    <mergeCell ref="B42:B44"/>
    <mergeCell ref="B37:B39"/>
    <mergeCell ref="L32:P32"/>
    <mergeCell ref="F33:H33"/>
    <mergeCell ref="A42:A46"/>
    <mergeCell ref="C62:D62"/>
    <mergeCell ref="R39:S41"/>
    <mergeCell ref="T39:T41"/>
    <mergeCell ref="AH39:AH40"/>
    <mergeCell ref="AH37:AH38"/>
    <mergeCell ref="R38:T38"/>
    <mergeCell ref="F38:H38"/>
    <mergeCell ref="Q37:T37"/>
    <mergeCell ref="Q38:Q41"/>
    <mergeCell ref="F39:H39"/>
    <mergeCell ref="N38:P41"/>
    <mergeCell ref="F41:K41"/>
    <mergeCell ref="F37:K37"/>
    <mergeCell ref="AH44:AH45"/>
    <mergeCell ref="AH42:AH43"/>
    <mergeCell ref="N43:P46"/>
    <mergeCell ref="F46:K46"/>
    <mergeCell ref="F44:H44"/>
    <mergeCell ref="Q42:T42"/>
    <mergeCell ref="T44:T46"/>
    <mergeCell ref="Q43:Q46"/>
    <mergeCell ref="R43:T43"/>
    <mergeCell ref="F43:H43"/>
    <mergeCell ref="R44:S46"/>
    <mergeCell ref="AK44:AK45"/>
    <mergeCell ref="AK42:AK43"/>
    <mergeCell ref="AI42:AI43"/>
    <mergeCell ref="AJ42:AJ43"/>
    <mergeCell ref="AI44:AI45"/>
    <mergeCell ref="AJ37:AJ38"/>
    <mergeCell ref="AJ44:AJ45"/>
    <mergeCell ref="AJ39:AJ40"/>
    <mergeCell ref="AI37:AI38"/>
    <mergeCell ref="AK37:AK38"/>
    <mergeCell ref="AK39:AK40"/>
    <mergeCell ref="AI39:AI40"/>
    <mergeCell ref="AK22:AK23"/>
    <mergeCell ref="R23:T23"/>
    <mergeCell ref="Q23:Q26"/>
    <mergeCell ref="V19:V21"/>
    <mergeCell ref="A27:A31"/>
    <mergeCell ref="AK27:AK28"/>
    <mergeCell ref="AJ27:AJ28"/>
    <mergeCell ref="R28:T28"/>
    <mergeCell ref="Q27:T27"/>
    <mergeCell ref="A22:A26"/>
    <mergeCell ref="B22:B24"/>
    <mergeCell ref="B25:B26"/>
    <mergeCell ref="B30:B31"/>
    <mergeCell ref="N28:P31"/>
    <mergeCell ref="F31:K31"/>
    <mergeCell ref="F24:H24"/>
    <mergeCell ref="C22:D26"/>
    <mergeCell ref="C27:D31"/>
    <mergeCell ref="AI24:AI25"/>
    <mergeCell ref="AH24:AH25"/>
    <mergeCell ref="AI29:AI30"/>
    <mergeCell ref="AH27:AH28"/>
    <mergeCell ref="R29:S31"/>
    <mergeCell ref="AH29:AH30"/>
    <mergeCell ref="Q33:Q36"/>
    <mergeCell ref="AH34:AH35"/>
    <mergeCell ref="AI27:AI28"/>
    <mergeCell ref="R34:S36"/>
    <mergeCell ref="AK24:AK25"/>
    <mergeCell ref="AK34:AK35"/>
    <mergeCell ref="AH32:AH33"/>
    <mergeCell ref="T34:T36"/>
    <mergeCell ref="R33:T33"/>
    <mergeCell ref="Q32:T32"/>
    <mergeCell ref="AK32:AK33"/>
    <mergeCell ref="AI34:AI35"/>
    <mergeCell ref="AJ34:AJ35"/>
    <mergeCell ref="AI32:AI33"/>
    <mergeCell ref="AJ32:AJ33"/>
    <mergeCell ref="AJ24:AJ25"/>
    <mergeCell ref="AK12:AK13"/>
    <mergeCell ref="AI12:AI13"/>
    <mergeCell ref="AH12:AH13"/>
    <mergeCell ref="AJ12:AJ13"/>
    <mergeCell ref="AK19:AK20"/>
    <mergeCell ref="Q17:T17"/>
    <mergeCell ref="AH19:AH20"/>
    <mergeCell ref="AI19:AI20"/>
    <mergeCell ref="T19:T21"/>
    <mergeCell ref="AK17:AK18"/>
    <mergeCell ref="AK14:AK15"/>
    <mergeCell ref="AI14:AI15"/>
    <mergeCell ref="AI17:AI18"/>
    <mergeCell ref="AH14:AH15"/>
    <mergeCell ref="R18:T18"/>
    <mergeCell ref="Q18:Q21"/>
    <mergeCell ref="AJ14:AJ15"/>
    <mergeCell ref="R13:T13"/>
    <mergeCell ref="V14:V16"/>
    <mergeCell ref="V12:V13"/>
    <mergeCell ref="W12:X13"/>
    <mergeCell ref="W14:X16"/>
    <mergeCell ref="V17:V18"/>
    <mergeCell ref="W17:X18"/>
    <mergeCell ref="AG6:AN9"/>
    <mergeCell ref="U9:X9"/>
    <mergeCell ref="T10:V10"/>
    <mergeCell ref="T11:V11"/>
    <mergeCell ref="M6:P6"/>
    <mergeCell ref="M7:N7"/>
    <mergeCell ref="R8:T8"/>
    <mergeCell ref="U5:AB8"/>
    <mergeCell ref="F34:H34"/>
    <mergeCell ref="F29:H29"/>
    <mergeCell ref="L33:M36"/>
    <mergeCell ref="L28:M31"/>
    <mergeCell ref="F23:H23"/>
    <mergeCell ref="Q22:T22"/>
    <mergeCell ref="R24:S26"/>
    <mergeCell ref="L22:P22"/>
    <mergeCell ref="Q28:Q31"/>
    <mergeCell ref="L23:M26"/>
    <mergeCell ref="F26:K26"/>
    <mergeCell ref="T24:T26"/>
    <mergeCell ref="T29:T31"/>
    <mergeCell ref="N23:P26"/>
    <mergeCell ref="AJ29:AJ30"/>
    <mergeCell ref="AK29:AK30"/>
    <mergeCell ref="W19:X21"/>
    <mergeCell ref="AH22:AH23"/>
    <mergeCell ref="AI22:AI23"/>
    <mergeCell ref="AJ22:AJ23"/>
    <mergeCell ref="T14:T16"/>
    <mergeCell ref="AJ19:AJ20"/>
    <mergeCell ref="M10:O10"/>
    <mergeCell ref="P10:Q10"/>
    <mergeCell ref="L17:P17"/>
    <mergeCell ref="L18:M21"/>
    <mergeCell ref="N18:P21"/>
    <mergeCell ref="L13:M16"/>
    <mergeCell ref="AH17:AH18"/>
    <mergeCell ref="R19:S21"/>
    <mergeCell ref="AJ17:AJ18"/>
    <mergeCell ref="F14:H14"/>
    <mergeCell ref="A17:A21"/>
    <mergeCell ref="B12:B14"/>
    <mergeCell ref="A12:A16"/>
    <mergeCell ref="B15:B16"/>
    <mergeCell ref="B17:B19"/>
    <mergeCell ref="B20:B21"/>
    <mergeCell ref="F17:K17"/>
    <mergeCell ref="F18:H18"/>
    <mergeCell ref="C17:D21"/>
    <mergeCell ref="F21:K21"/>
    <mergeCell ref="F19:H19"/>
    <mergeCell ref="E17:E21"/>
    <mergeCell ref="G67:I67"/>
    <mergeCell ref="J71:M71"/>
    <mergeCell ref="A3:T4"/>
    <mergeCell ref="L12:P12"/>
    <mergeCell ref="M5:P5"/>
    <mergeCell ref="T5:T6"/>
    <mergeCell ref="Q5:S6"/>
    <mergeCell ref="M8:N8"/>
    <mergeCell ref="O7:Q7"/>
    <mergeCell ref="O8:Q8"/>
    <mergeCell ref="R7:T7"/>
    <mergeCell ref="Q12:T12"/>
    <mergeCell ref="C12:D16"/>
    <mergeCell ref="E12:E16"/>
    <mergeCell ref="A9:B9"/>
    <mergeCell ref="G9:H10"/>
    <mergeCell ref="I9:K10"/>
    <mergeCell ref="D9:E9"/>
    <mergeCell ref="F12:K12"/>
    <mergeCell ref="F13:H13"/>
    <mergeCell ref="Q13:Q16"/>
    <mergeCell ref="R14:S16"/>
    <mergeCell ref="F16:K16"/>
    <mergeCell ref="N13:P16"/>
    <mergeCell ref="G75:I75"/>
    <mergeCell ref="G76:I76"/>
    <mergeCell ref="C94:D94"/>
    <mergeCell ref="J74:M74"/>
    <mergeCell ref="G71:I71"/>
    <mergeCell ref="J65:M65"/>
    <mergeCell ref="C95:D95"/>
    <mergeCell ref="E90:F90"/>
    <mergeCell ref="E91:F91"/>
    <mergeCell ref="C91:D91"/>
    <mergeCell ref="C92:D92"/>
    <mergeCell ref="C90:D90"/>
    <mergeCell ref="E93:F93"/>
    <mergeCell ref="E94:F94"/>
    <mergeCell ref="E95:F95"/>
    <mergeCell ref="C93:D93"/>
    <mergeCell ref="G68:I68"/>
    <mergeCell ref="J72:M72"/>
    <mergeCell ref="J68:M68"/>
    <mergeCell ref="E65:F65"/>
    <mergeCell ref="E66:F66"/>
    <mergeCell ref="E67:F67"/>
    <mergeCell ref="G65:I65"/>
    <mergeCell ref="G66:I66"/>
    <mergeCell ref="E37:E41"/>
    <mergeCell ref="C42:D46"/>
    <mergeCell ref="N74:P74"/>
    <mergeCell ref="N75:P75"/>
    <mergeCell ref="N73:P73"/>
    <mergeCell ref="C89:N89"/>
    <mergeCell ref="C73:D73"/>
    <mergeCell ref="C74:D74"/>
    <mergeCell ref="C65:D65"/>
    <mergeCell ref="C75:D75"/>
    <mergeCell ref="C76:D76"/>
    <mergeCell ref="C72:D72"/>
    <mergeCell ref="E72:F72"/>
    <mergeCell ref="N68:P68"/>
    <mergeCell ref="N67:P67"/>
    <mergeCell ref="N72:P72"/>
    <mergeCell ref="N65:P65"/>
    <mergeCell ref="G72:I72"/>
    <mergeCell ref="G74:I74"/>
    <mergeCell ref="E76:F76"/>
    <mergeCell ref="E74:F74"/>
    <mergeCell ref="E75:F75"/>
    <mergeCell ref="J75:M75"/>
    <mergeCell ref="J76:M76"/>
    <mergeCell ref="N91:P91"/>
    <mergeCell ref="N92:P92"/>
    <mergeCell ref="E22:E26"/>
    <mergeCell ref="E27:E31"/>
    <mergeCell ref="C77:D77"/>
    <mergeCell ref="E42:E46"/>
    <mergeCell ref="C68:D68"/>
    <mergeCell ref="E68:F68"/>
    <mergeCell ref="C66:D66"/>
    <mergeCell ref="C67:D67"/>
    <mergeCell ref="C70:N70"/>
    <mergeCell ref="C71:D71"/>
    <mergeCell ref="E71:F71"/>
    <mergeCell ref="J73:M73"/>
    <mergeCell ref="J66:M66"/>
    <mergeCell ref="J67:M67"/>
    <mergeCell ref="F22:K22"/>
    <mergeCell ref="L37:P37"/>
    <mergeCell ref="L38:M41"/>
    <mergeCell ref="N71:P71"/>
    <mergeCell ref="N66:P66"/>
    <mergeCell ref="C32:D36"/>
    <mergeCell ref="E32:E36"/>
    <mergeCell ref="C37:D41"/>
    <mergeCell ref="G73:I73"/>
    <mergeCell ref="E73:F73"/>
    <mergeCell ref="N95:P95"/>
    <mergeCell ref="N76:P76"/>
    <mergeCell ref="N90:P90"/>
    <mergeCell ref="J90:M90"/>
    <mergeCell ref="G95:I95"/>
    <mergeCell ref="G91:I91"/>
    <mergeCell ref="G90:I90"/>
    <mergeCell ref="E92:F92"/>
    <mergeCell ref="J95:M95"/>
    <mergeCell ref="G92:I92"/>
    <mergeCell ref="G93:I93"/>
    <mergeCell ref="N93:P93"/>
    <mergeCell ref="J91:M91"/>
    <mergeCell ref="E77:F77"/>
    <mergeCell ref="G77:I77"/>
    <mergeCell ref="J77:M77"/>
    <mergeCell ref="N77:P77"/>
    <mergeCell ref="J94:M94"/>
    <mergeCell ref="G94:I94"/>
    <mergeCell ref="J93:M93"/>
    <mergeCell ref="J92:M92"/>
    <mergeCell ref="N94:P94"/>
  </mergeCells>
  <phoneticPr fontId="2"/>
  <pageMargins left="0.51181102362204722" right="0.55118110236220474" top="0.31496062992125984" bottom="0.11811023622047245" header="0.35433070866141736" footer="0.15748031496062992"/>
  <pageSetup paperSize="9" scale="77" orientation="portrait" horizontalDpi="300" verticalDpi="300" r:id="rId1"/>
  <headerFooter alignWithMargins="0">
    <oddHeader>&amp;R&amp;D　&amp;T</oddHeader>
    <oddFooter>&amp;Z&amp;F</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B117"/>
  <sheetViews>
    <sheetView showGridLines="0" view="pageBreakPreview" zoomScale="115" zoomScaleNormal="100" zoomScaleSheetLayoutView="115" workbookViewId="0">
      <selection activeCell="F46" sqref="F46:K46"/>
    </sheetView>
  </sheetViews>
  <sheetFormatPr defaultColWidth="9" defaultRowHeight="13.5"/>
  <cols>
    <col min="1" max="53" width="2.5" style="508" customWidth="1"/>
    <col min="54" max="16384" width="9" style="508"/>
  </cols>
  <sheetData>
    <row r="1" spans="1:40" ht="30.75" customHeight="1">
      <c r="A1" s="1205" t="s">
        <v>450</v>
      </c>
      <c r="B1" s="1205"/>
      <c r="C1" s="1205"/>
      <c r="D1" s="1205"/>
      <c r="E1" s="1205"/>
      <c r="F1" s="1205"/>
      <c r="G1" s="1205"/>
      <c r="H1" s="1205"/>
      <c r="I1" s="1205"/>
      <c r="J1" s="1205"/>
      <c r="K1" s="1205"/>
      <c r="L1" s="1205"/>
      <c r="M1" s="1205"/>
      <c r="N1" s="1205"/>
      <c r="O1" s="1205"/>
      <c r="P1" s="1205"/>
      <c r="Q1" s="1205"/>
      <c r="R1" s="1205"/>
      <c r="S1" s="1205"/>
      <c r="T1" s="1205"/>
      <c r="U1" s="1205"/>
      <c r="V1" s="1205"/>
      <c r="W1" s="1205"/>
      <c r="X1" s="1205"/>
      <c r="Y1" s="1205"/>
      <c r="AG1" s="1202" t="s">
        <v>317</v>
      </c>
      <c r="AH1" s="1203"/>
      <c r="AI1" s="1203"/>
      <c r="AJ1" s="1203"/>
      <c r="AK1" s="1204"/>
      <c r="AL1" s="1200" t="s">
        <v>316</v>
      </c>
      <c r="AM1" s="1200"/>
      <c r="AN1" s="1201"/>
    </row>
    <row r="2" spans="1:40" ht="32.25" customHeight="1">
      <c r="A2" s="1207" t="s">
        <v>396</v>
      </c>
      <c r="B2" s="1207"/>
      <c r="C2" s="1207"/>
      <c r="D2" s="1207"/>
      <c r="E2" s="1207"/>
      <c r="F2" s="1207"/>
      <c r="G2" s="1207"/>
      <c r="H2" s="1207"/>
      <c r="I2" s="1207"/>
      <c r="J2" s="1207"/>
      <c r="K2" s="1207"/>
      <c r="L2" s="1207"/>
      <c r="M2" s="1207"/>
      <c r="N2" s="1207"/>
      <c r="O2" s="1207"/>
      <c r="P2" s="1207"/>
      <c r="Q2" s="1207"/>
      <c r="R2" s="1207"/>
      <c r="S2" s="1207"/>
      <c r="T2" s="1207"/>
      <c r="U2" s="1207"/>
      <c r="V2" s="1207"/>
      <c r="W2" s="1207"/>
      <c r="X2" s="1207"/>
      <c r="Y2" s="582"/>
      <c r="Z2" s="537"/>
      <c r="AA2" s="537"/>
      <c r="AB2" s="537"/>
      <c r="AC2" s="537"/>
      <c r="AD2" s="537"/>
      <c r="AE2" s="537"/>
      <c r="AF2" s="537"/>
      <c r="AG2" s="540"/>
      <c r="AH2" s="541"/>
      <c r="AI2" s="541"/>
      <c r="AJ2" s="541"/>
      <c r="AK2" s="541"/>
      <c r="AL2" s="546"/>
      <c r="AM2" s="541"/>
      <c r="AN2" s="542"/>
    </row>
    <row r="3" spans="1:40" ht="23.25" customHeight="1">
      <c r="A3" s="539" t="s">
        <v>324</v>
      </c>
      <c r="B3" s="539"/>
      <c r="C3" s="539"/>
      <c r="D3" s="539"/>
      <c r="E3" s="539"/>
      <c r="F3" s="539"/>
      <c r="G3" s="539"/>
      <c r="H3" s="539"/>
      <c r="I3" s="539"/>
      <c r="J3" s="1206"/>
      <c r="K3" s="1206"/>
      <c r="L3" s="1206"/>
      <c r="M3" s="1206"/>
      <c r="N3" s="1206"/>
      <c r="O3" s="1206"/>
      <c r="P3" s="1206"/>
      <c r="Q3" s="1206"/>
      <c r="R3" s="1206"/>
      <c r="S3" s="1206"/>
      <c r="T3" s="538"/>
      <c r="U3" s="509" t="s">
        <v>11</v>
      </c>
      <c r="AG3" s="543"/>
      <c r="AH3" s="544"/>
      <c r="AI3" s="544"/>
      <c r="AJ3" s="544"/>
      <c r="AK3" s="544"/>
      <c r="AL3" s="547"/>
      <c r="AM3" s="544"/>
      <c r="AN3" s="545"/>
    </row>
    <row r="4" spans="1:40" ht="14.25" customHeight="1"/>
    <row r="5" spans="1:40" ht="15" customHeight="1">
      <c r="A5" s="1179" t="s">
        <v>343</v>
      </c>
      <c r="B5" s="1172"/>
      <c r="C5" s="1172"/>
      <c r="D5" s="1172"/>
    </row>
    <row r="6" spans="1:40" ht="12" customHeight="1">
      <c r="A6" s="1194" t="s">
        <v>279</v>
      </c>
      <c r="B6" s="1195"/>
      <c r="C6" s="1175">
        <f>IF(入力画面!C12="","",入力画面!C12)</f>
        <v>1</v>
      </c>
      <c r="D6" s="1176"/>
      <c r="E6" s="1176"/>
      <c r="F6" s="1176"/>
      <c r="G6" s="1176"/>
      <c r="H6" s="1176"/>
      <c r="I6" s="1176"/>
      <c r="J6" s="1176"/>
      <c r="K6" s="1180" t="s">
        <v>11</v>
      </c>
      <c r="L6" s="1181"/>
      <c r="M6" s="1117" t="s">
        <v>273</v>
      </c>
      <c r="N6" s="1118"/>
      <c r="O6" s="1118"/>
      <c r="P6" s="1118"/>
      <c r="Q6" s="1095"/>
      <c r="R6" s="1095"/>
      <c r="S6" s="1095"/>
      <c r="T6" s="1096"/>
      <c r="U6" s="1093" t="s">
        <v>6</v>
      </c>
      <c r="V6" s="1117" t="s">
        <v>275</v>
      </c>
      <c r="W6" s="1118"/>
      <c r="X6" s="1118"/>
      <c r="Y6" s="1118"/>
      <c r="Z6" s="1095"/>
      <c r="AA6" s="1095"/>
      <c r="AB6" s="1095"/>
      <c r="AC6" s="1096"/>
      <c r="AD6" s="1093" t="s">
        <v>6</v>
      </c>
      <c r="AE6" s="1117" t="s">
        <v>277</v>
      </c>
      <c r="AF6" s="1118"/>
      <c r="AG6" s="1118"/>
      <c r="AH6" s="1118"/>
      <c r="AI6" s="1095"/>
      <c r="AJ6" s="1095"/>
      <c r="AK6" s="1095"/>
      <c r="AL6" s="1096"/>
      <c r="AM6" s="1093" t="s">
        <v>6</v>
      </c>
    </row>
    <row r="7" spans="1:40" ht="12" customHeight="1">
      <c r="A7" s="1196"/>
      <c r="B7" s="1197"/>
      <c r="C7" s="1177"/>
      <c r="D7" s="1123"/>
      <c r="E7" s="1123"/>
      <c r="F7" s="1123"/>
      <c r="G7" s="1123"/>
      <c r="H7" s="1123"/>
      <c r="I7" s="1123"/>
      <c r="J7" s="1123"/>
      <c r="K7" s="1182"/>
      <c r="L7" s="1183"/>
      <c r="M7" s="1119"/>
      <c r="N7" s="1120"/>
      <c r="O7" s="1120"/>
      <c r="P7" s="1120"/>
      <c r="Q7" s="1097"/>
      <c r="R7" s="1097"/>
      <c r="S7" s="1097"/>
      <c r="T7" s="1098"/>
      <c r="U7" s="1094"/>
      <c r="V7" s="1119"/>
      <c r="W7" s="1120"/>
      <c r="X7" s="1120"/>
      <c r="Y7" s="1120"/>
      <c r="Z7" s="1097"/>
      <c r="AA7" s="1097"/>
      <c r="AB7" s="1097"/>
      <c r="AC7" s="1098"/>
      <c r="AD7" s="1094"/>
      <c r="AE7" s="1119"/>
      <c r="AF7" s="1120"/>
      <c r="AG7" s="1120"/>
      <c r="AH7" s="1120"/>
      <c r="AI7" s="1097"/>
      <c r="AJ7" s="1097"/>
      <c r="AK7" s="1097"/>
      <c r="AL7" s="1098"/>
      <c r="AM7" s="1094"/>
    </row>
    <row r="8" spans="1:40" ht="12" customHeight="1">
      <c r="A8" s="1196"/>
      <c r="B8" s="1197"/>
      <c r="C8" s="1177"/>
      <c r="D8" s="1123"/>
      <c r="E8" s="1123"/>
      <c r="F8" s="1123"/>
      <c r="G8" s="1123"/>
      <c r="H8" s="1123"/>
      <c r="I8" s="1123"/>
      <c r="J8" s="1123"/>
      <c r="K8" s="1182"/>
      <c r="L8" s="1183"/>
      <c r="M8" s="1119" t="s">
        <v>274</v>
      </c>
      <c r="N8" s="1120"/>
      <c r="O8" s="1120"/>
      <c r="P8" s="1120"/>
      <c r="Q8" s="1097"/>
      <c r="R8" s="1097"/>
      <c r="S8" s="1097"/>
      <c r="T8" s="1098"/>
      <c r="U8" s="1094" t="s">
        <v>6</v>
      </c>
      <c r="V8" s="1119" t="s">
        <v>276</v>
      </c>
      <c r="W8" s="1120"/>
      <c r="X8" s="1120"/>
      <c r="Y8" s="1120"/>
      <c r="Z8" s="1097"/>
      <c r="AA8" s="1097"/>
      <c r="AB8" s="1097"/>
      <c r="AC8" s="1098"/>
      <c r="AD8" s="1094" t="s">
        <v>6</v>
      </c>
      <c r="AE8" s="1102" t="s">
        <v>278</v>
      </c>
      <c r="AF8" s="1103"/>
      <c r="AG8" s="1103"/>
      <c r="AH8" s="1103"/>
      <c r="AI8" s="1106">
        <f>IF(入力画面!C12="","",入力画面!N13)</f>
        <v>0</v>
      </c>
      <c r="AJ8" s="1106"/>
      <c r="AK8" s="1106"/>
      <c r="AL8" s="1107"/>
      <c r="AM8" s="1110" t="s">
        <v>6</v>
      </c>
    </row>
    <row r="9" spans="1:40" ht="12" customHeight="1">
      <c r="A9" s="1198"/>
      <c r="B9" s="1199"/>
      <c r="C9" s="1178"/>
      <c r="D9" s="1179"/>
      <c r="E9" s="1179"/>
      <c r="F9" s="1179"/>
      <c r="G9" s="1179"/>
      <c r="H9" s="1179"/>
      <c r="I9" s="1179"/>
      <c r="J9" s="1179"/>
      <c r="K9" s="1184"/>
      <c r="L9" s="1185"/>
      <c r="M9" s="1128"/>
      <c r="N9" s="1129"/>
      <c r="O9" s="1129"/>
      <c r="P9" s="1129"/>
      <c r="Q9" s="1130"/>
      <c r="R9" s="1130"/>
      <c r="S9" s="1130"/>
      <c r="T9" s="1131"/>
      <c r="U9" s="1127"/>
      <c r="V9" s="1128"/>
      <c r="W9" s="1129"/>
      <c r="X9" s="1129"/>
      <c r="Y9" s="1129"/>
      <c r="Z9" s="1130"/>
      <c r="AA9" s="1130"/>
      <c r="AB9" s="1130"/>
      <c r="AC9" s="1131"/>
      <c r="AD9" s="1127"/>
      <c r="AE9" s="1104"/>
      <c r="AF9" s="1105"/>
      <c r="AG9" s="1105"/>
      <c r="AH9" s="1105"/>
      <c r="AI9" s="1108"/>
      <c r="AJ9" s="1108"/>
      <c r="AK9" s="1108"/>
      <c r="AL9" s="1109"/>
      <c r="AM9" s="1111"/>
    </row>
    <row r="10" spans="1:40" ht="9" customHeight="1"/>
    <row r="11" spans="1:40" ht="15" customHeight="1">
      <c r="A11" s="1172" t="s">
        <v>344</v>
      </c>
      <c r="B11" s="1172"/>
      <c r="C11" s="1172"/>
      <c r="D11" s="1172"/>
    </row>
    <row r="12" spans="1:40" ht="12" customHeight="1">
      <c r="A12" s="1194" t="s">
        <v>52</v>
      </c>
      <c r="B12" s="1195"/>
      <c r="C12" s="1175">
        <f>IF(入力画面!C17="","",入力画面!C17)</f>
        <v>0</v>
      </c>
      <c r="D12" s="1176"/>
      <c r="E12" s="1176"/>
      <c r="F12" s="1176"/>
      <c r="G12" s="1176"/>
      <c r="H12" s="1176"/>
      <c r="I12" s="1176"/>
      <c r="J12" s="1176"/>
      <c r="K12" s="1180" t="s">
        <v>11</v>
      </c>
      <c r="L12" s="1181"/>
      <c r="M12" s="1117" t="s">
        <v>273</v>
      </c>
      <c r="N12" s="1118"/>
      <c r="O12" s="1118"/>
      <c r="P12" s="1118"/>
      <c r="Q12" s="1095"/>
      <c r="R12" s="1095"/>
      <c r="S12" s="1095"/>
      <c r="T12" s="1096"/>
      <c r="U12" s="1093" t="s">
        <v>6</v>
      </c>
      <c r="V12" s="1117" t="s">
        <v>275</v>
      </c>
      <c r="W12" s="1118"/>
      <c r="X12" s="1118"/>
      <c r="Y12" s="1118"/>
      <c r="Z12" s="1095"/>
      <c r="AA12" s="1095"/>
      <c r="AB12" s="1095"/>
      <c r="AC12" s="1096"/>
      <c r="AD12" s="1093" t="s">
        <v>6</v>
      </c>
      <c r="AE12" s="1117" t="s">
        <v>277</v>
      </c>
      <c r="AF12" s="1118"/>
      <c r="AG12" s="1118"/>
      <c r="AH12" s="1118"/>
      <c r="AI12" s="1095"/>
      <c r="AJ12" s="1095"/>
      <c r="AK12" s="1095"/>
      <c r="AL12" s="1096"/>
      <c r="AM12" s="1093" t="s">
        <v>6</v>
      </c>
    </row>
    <row r="13" spans="1:40" ht="12" customHeight="1">
      <c r="A13" s="1196"/>
      <c r="B13" s="1197"/>
      <c r="C13" s="1177"/>
      <c r="D13" s="1123"/>
      <c r="E13" s="1123"/>
      <c r="F13" s="1123"/>
      <c r="G13" s="1123"/>
      <c r="H13" s="1123"/>
      <c r="I13" s="1123"/>
      <c r="J13" s="1123"/>
      <c r="K13" s="1182"/>
      <c r="L13" s="1183"/>
      <c r="M13" s="1119"/>
      <c r="N13" s="1120"/>
      <c r="O13" s="1120"/>
      <c r="P13" s="1120"/>
      <c r="Q13" s="1097"/>
      <c r="R13" s="1097"/>
      <c r="S13" s="1097"/>
      <c r="T13" s="1098"/>
      <c r="U13" s="1094"/>
      <c r="V13" s="1119"/>
      <c r="W13" s="1120"/>
      <c r="X13" s="1120"/>
      <c r="Y13" s="1120"/>
      <c r="Z13" s="1097"/>
      <c r="AA13" s="1097"/>
      <c r="AB13" s="1097"/>
      <c r="AC13" s="1098"/>
      <c r="AD13" s="1094"/>
      <c r="AE13" s="1119"/>
      <c r="AF13" s="1120"/>
      <c r="AG13" s="1120"/>
      <c r="AH13" s="1120"/>
      <c r="AI13" s="1097"/>
      <c r="AJ13" s="1097"/>
      <c r="AK13" s="1097"/>
      <c r="AL13" s="1098"/>
      <c r="AM13" s="1094"/>
    </row>
    <row r="14" spans="1:40" ht="12" customHeight="1">
      <c r="A14" s="1196"/>
      <c r="B14" s="1197"/>
      <c r="C14" s="1177"/>
      <c r="D14" s="1123"/>
      <c r="E14" s="1123"/>
      <c r="F14" s="1123"/>
      <c r="G14" s="1123"/>
      <c r="H14" s="1123"/>
      <c r="I14" s="1123"/>
      <c r="J14" s="1123"/>
      <c r="K14" s="1182"/>
      <c r="L14" s="1183"/>
      <c r="M14" s="1119" t="s">
        <v>274</v>
      </c>
      <c r="N14" s="1120"/>
      <c r="O14" s="1120"/>
      <c r="P14" s="1120"/>
      <c r="Q14" s="1097"/>
      <c r="R14" s="1097"/>
      <c r="S14" s="1097"/>
      <c r="T14" s="1098"/>
      <c r="U14" s="1094" t="s">
        <v>6</v>
      </c>
      <c r="V14" s="1119" t="s">
        <v>276</v>
      </c>
      <c r="W14" s="1120"/>
      <c r="X14" s="1120"/>
      <c r="Y14" s="1120"/>
      <c r="Z14" s="1097"/>
      <c r="AA14" s="1097"/>
      <c r="AB14" s="1097"/>
      <c r="AC14" s="1098"/>
      <c r="AD14" s="1094" t="s">
        <v>6</v>
      </c>
      <c r="AE14" s="1102" t="s">
        <v>278</v>
      </c>
      <c r="AF14" s="1103"/>
      <c r="AG14" s="1103"/>
      <c r="AH14" s="1103"/>
      <c r="AI14" s="1106">
        <f>IF(入力画面!C17="","",入力画面!N18)</f>
        <v>0</v>
      </c>
      <c r="AJ14" s="1106"/>
      <c r="AK14" s="1106"/>
      <c r="AL14" s="1107"/>
      <c r="AM14" s="1110" t="s">
        <v>6</v>
      </c>
    </row>
    <row r="15" spans="1:40" ht="12" customHeight="1">
      <c r="A15" s="1198"/>
      <c r="B15" s="1199"/>
      <c r="C15" s="1178"/>
      <c r="D15" s="1179"/>
      <c r="E15" s="1179"/>
      <c r="F15" s="1179"/>
      <c r="G15" s="1179"/>
      <c r="H15" s="1179"/>
      <c r="I15" s="1179"/>
      <c r="J15" s="1179"/>
      <c r="K15" s="1184"/>
      <c r="L15" s="1185"/>
      <c r="M15" s="1128"/>
      <c r="N15" s="1129"/>
      <c r="O15" s="1129"/>
      <c r="P15" s="1129"/>
      <c r="Q15" s="1130"/>
      <c r="R15" s="1130"/>
      <c r="S15" s="1130"/>
      <c r="T15" s="1131"/>
      <c r="U15" s="1127"/>
      <c r="V15" s="1128"/>
      <c r="W15" s="1129"/>
      <c r="X15" s="1129"/>
      <c r="Y15" s="1129"/>
      <c r="Z15" s="1130"/>
      <c r="AA15" s="1130"/>
      <c r="AB15" s="1130"/>
      <c r="AC15" s="1131"/>
      <c r="AD15" s="1127"/>
      <c r="AE15" s="1104"/>
      <c r="AF15" s="1105"/>
      <c r="AG15" s="1105"/>
      <c r="AH15" s="1105"/>
      <c r="AI15" s="1108"/>
      <c r="AJ15" s="1108"/>
      <c r="AK15" s="1108"/>
      <c r="AL15" s="1109"/>
      <c r="AM15" s="1111"/>
    </row>
    <row r="16" spans="1:40" ht="9" customHeight="1"/>
    <row r="17" spans="1:39" ht="15" customHeight="1">
      <c r="A17" s="1172" t="s">
        <v>344</v>
      </c>
      <c r="B17" s="1172"/>
      <c r="C17" s="1172"/>
      <c r="D17" s="1172"/>
    </row>
    <row r="18" spans="1:39" ht="12" customHeight="1">
      <c r="A18" s="1194" t="s">
        <v>53</v>
      </c>
      <c r="B18" s="1195"/>
      <c r="C18" s="1175">
        <f>IF(入力画面!C22="","",入力画面!C22)</f>
        <v>0</v>
      </c>
      <c r="D18" s="1176"/>
      <c r="E18" s="1176"/>
      <c r="F18" s="1176"/>
      <c r="G18" s="1176"/>
      <c r="H18" s="1176"/>
      <c r="I18" s="1176"/>
      <c r="J18" s="1176"/>
      <c r="K18" s="1180" t="s">
        <v>11</v>
      </c>
      <c r="L18" s="1181"/>
      <c r="M18" s="1117" t="s">
        <v>273</v>
      </c>
      <c r="N18" s="1118"/>
      <c r="O18" s="1118"/>
      <c r="P18" s="1118"/>
      <c r="Q18" s="1095"/>
      <c r="R18" s="1095"/>
      <c r="S18" s="1095"/>
      <c r="T18" s="1096"/>
      <c r="U18" s="1093" t="s">
        <v>6</v>
      </c>
      <c r="V18" s="1117" t="s">
        <v>275</v>
      </c>
      <c r="W18" s="1118"/>
      <c r="X18" s="1118"/>
      <c r="Y18" s="1118"/>
      <c r="Z18" s="1095"/>
      <c r="AA18" s="1095"/>
      <c r="AB18" s="1095"/>
      <c r="AC18" s="1096"/>
      <c r="AD18" s="1093" t="s">
        <v>6</v>
      </c>
      <c r="AE18" s="1117" t="s">
        <v>277</v>
      </c>
      <c r="AF18" s="1118"/>
      <c r="AG18" s="1118"/>
      <c r="AH18" s="1118"/>
      <c r="AI18" s="1095"/>
      <c r="AJ18" s="1095"/>
      <c r="AK18" s="1095"/>
      <c r="AL18" s="1096"/>
      <c r="AM18" s="1093" t="s">
        <v>6</v>
      </c>
    </row>
    <row r="19" spans="1:39" ht="12" customHeight="1">
      <c r="A19" s="1196"/>
      <c r="B19" s="1197"/>
      <c r="C19" s="1177"/>
      <c r="D19" s="1123"/>
      <c r="E19" s="1123"/>
      <c r="F19" s="1123"/>
      <c r="G19" s="1123"/>
      <c r="H19" s="1123"/>
      <c r="I19" s="1123"/>
      <c r="J19" s="1123"/>
      <c r="K19" s="1182"/>
      <c r="L19" s="1183"/>
      <c r="M19" s="1119"/>
      <c r="N19" s="1120"/>
      <c r="O19" s="1120"/>
      <c r="P19" s="1120"/>
      <c r="Q19" s="1097"/>
      <c r="R19" s="1097"/>
      <c r="S19" s="1097"/>
      <c r="T19" s="1098"/>
      <c r="U19" s="1094"/>
      <c r="V19" s="1119"/>
      <c r="W19" s="1120"/>
      <c r="X19" s="1120"/>
      <c r="Y19" s="1120"/>
      <c r="Z19" s="1097"/>
      <c r="AA19" s="1097"/>
      <c r="AB19" s="1097"/>
      <c r="AC19" s="1098"/>
      <c r="AD19" s="1094"/>
      <c r="AE19" s="1119"/>
      <c r="AF19" s="1120"/>
      <c r="AG19" s="1120"/>
      <c r="AH19" s="1120"/>
      <c r="AI19" s="1097"/>
      <c r="AJ19" s="1097"/>
      <c r="AK19" s="1097"/>
      <c r="AL19" s="1098"/>
      <c r="AM19" s="1094"/>
    </row>
    <row r="20" spans="1:39" ht="12" customHeight="1">
      <c r="A20" s="1196"/>
      <c r="B20" s="1197"/>
      <c r="C20" s="1177"/>
      <c r="D20" s="1123"/>
      <c r="E20" s="1123"/>
      <c r="F20" s="1123"/>
      <c r="G20" s="1123"/>
      <c r="H20" s="1123"/>
      <c r="I20" s="1123"/>
      <c r="J20" s="1123"/>
      <c r="K20" s="1182"/>
      <c r="L20" s="1183"/>
      <c r="M20" s="1119" t="s">
        <v>274</v>
      </c>
      <c r="N20" s="1120"/>
      <c r="O20" s="1120"/>
      <c r="P20" s="1120"/>
      <c r="Q20" s="1097"/>
      <c r="R20" s="1097"/>
      <c r="S20" s="1097"/>
      <c r="T20" s="1098"/>
      <c r="U20" s="1094" t="s">
        <v>6</v>
      </c>
      <c r="V20" s="1119" t="s">
        <v>276</v>
      </c>
      <c r="W20" s="1120"/>
      <c r="X20" s="1120"/>
      <c r="Y20" s="1120"/>
      <c r="Z20" s="1097"/>
      <c r="AA20" s="1097"/>
      <c r="AB20" s="1097"/>
      <c r="AC20" s="1098"/>
      <c r="AD20" s="1094" t="s">
        <v>6</v>
      </c>
      <c r="AE20" s="1102" t="s">
        <v>278</v>
      </c>
      <c r="AF20" s="1103"/>
      <c r="AG20" s="1103"/>
      <c r="AH20" s="1103"/>
      <c r="AI20" s="1106">
        <f>IF(入力画面!C22="","",入力画面!N23)</f>
        <v>0</v>
      </c>
      <c r="AJ20" s="1106"/>
      <c r="AK20" s="1106"/>
      <c r="AL20" s="1107"/>
      <c r="AM20" s="1110" t="s">
        <v>6</v>
      </c>
    </row>
    <row r="21" spans="1:39" ht="12" customHeight="1">
      <c r="A21" s="1198"/>
      <c r="B21" s="1199"/>
      <c r="C21" s="1178"/>
      <c r="D21" s="1179"/>
      <c r="E21" s="1179"/>
      <c r="F21" s="1179"/>
      <c r="G21" s="1179"/>
      <c r="H21" s="1179"/>
      <c r="I21" s="1179"/>
      <c r="J21" s="1179"/>
      <c r="K21" s="1184"/>
      <c r="L21" s="1185"/>
      <c r="M21" s="1128"/>
      <c r="N21" s="1129"/>
      <c r="O21" s="1129"/>
      <c r="P21" s="1129"/>
      <c r="Q21" s="1130"/>
      <c r="R21" s="1130"/>
      <c r="S21" s="1130"/>
      <c r="T21" s="1131"/>
      <c r="U21" s="1127"/>
      <c r="V21" s="1128"/>
      <c r="W21" s="1129"/>
      <c r="X21" s="1129"/>
      <c r="Y21" s="1129"/>
      <c r="Z21" s="1130"/>
      <c r="AA21" s="1130"/>
      <c r="AB21" s="1130"/>
      <c r="AC21" s="1131"/>
      <c r="AD21" s="1127"/>
      <c r="AE21" s="1104"/>
      <c r="AF21" s="1105"/>
      <c r="AG21" s="1105"/>
      <c r="AH21" s="1105"/>
      <c r="AI21" s="1108"/>
      <c r="AJ21" s="1108"/>
      <c r="AK21" s="1108"/>
      <c r="AL21" s="1109"/>
      <c r="AM21" s="1111"/>
    </row>
    <row r="22" spans="1:39" ht="9" customHeight="1"/>
    <row r="23" spans="1:39" ht="15" customHeight="1">
      <c r="A23" s="1172" t="s">
        <v>345</v>
      </c>
      <c r="B23" s="1172"/>
      <c r="C23" s="1172"/>
      <c r="D23" s="1172"/>
    </row>
    <row r="24" spans="1:39" ht="12" customHeight="1">
      <c r="A24" s="1194" t="s">
        <v>280</v>
      </c>
      <c r="B24" s="1195"/>
      <c r="C24" s="1175">
        <f>IF(入力画面!C27="","",入力画面!C27)</f>
        <v>0</v>
      </c>
      <c r="D24" s="1176"/>
      <c r="E24" s="1176"/>
      <c r="F24" s="1176"/>
      <c r="G24" s="1176"/>
      <c r="H24" s="1176"/>
      <c r="I24" s="1176"/>
      <c r="J24" s="1176"/>
      <c r="K24" s="1180" t="s">
        <v>11</v>
      </c>
      <c r="L24" s="1181"/>
      <c r="M24" s="1117" t="s">
        <v>273</v>
      </c>
      <c r="N24" s="1118"/>
      <c r="O24" s="1118"/>
      <c r="P24" s="1118"/>
      <c r="Q24" s="1095"/>
      <c r="R24" s="1095"/>
      <c r="S24" s="1095"/>
      <c r="T24" s="1096"/>
      <c r="U24" s="1093" t="s">
        <v>6</v>
      </c>
      <c r="V24" s="1117" t="s">
        <v>275</v>
      </c>
      <c r="W24" s="1118"/>
      <c r="X24" s="1118"/>
      <c r="Y24" s="1118"/>
      <c r="Z24" s="1095"/>
      <c r="AA24" s="1095"/>
      <c r="AB24" s="1095"/>
      <c r="AC24" s="1096"/>
      <c r="AD24" s="1093" t="s">
        <v>6</v>
      </c>
      <c r="AE24" s="1117" t="s">
        <v>277</v>
      </c>
      <c r="AF24" s="1118"/>
      <c r="AG24" s="1118"/>
      <c r="AH24" s="1118"/>
      <c r="AI24" s="1095"/>
      <c r="AJ24" s="1095"/>
      <c r="AK24" s="1095"/>
      <c r="AL24" s="1096"/>
      <c r="AM24" s="1093" t="s">
        <v>6</v>
      </c>
    </row>
    <row r="25" spans="1:39" ht="12" customHeight="1">
      <c r="A25" s="1196"/>
      <c r="B25" s="1197"/>
      <c r="C25" s="1177"/>
      <c r="D25" s="1123"/>
      <c r="E25" s="1123"/>
      <c r="F25" s="1123"/>
      <c r="G25" s="1123"/>
      <c r="H25" s="1123"/>
      <c r="I25" s="1123"/>
      <c r="J25" s="1123"/>
      <c r="K25" s="1182"/>
      <c r="L25" s="1183"/>
      <c r="M25" s="1119"/>
      <c r="N25" s="1120"/>
      <c r="O25" s="1120"/>
      <c r="P25" s="1120"/>
      <c r="Q25" s="1097"/>
      <c r="R25" s="1097"/>
      <c r="S25" s="1097"/>
      <c r="T25" s="1098"/>
      <c r="U25" s="1094"/>
      <c r="V25" s="1119"/>
      <c r="W25" s="1120"/>
      <c r="X25" s="1120"/>
      <c r="Y25" s="1120"/>
      <c r="Z25" s="1097"/>
      <c r="AA25" s="1097"/>
      <c r="AB25" s="1097"/>
      <c r="AC25" s="1098"/>
      <c r="AD25" s="1094"/>
      <c r="AE25" s="1119"/>
      <c r="AF25" s="1120"/>
      <c r="AG25" s="1120"/>
      <c r="AH25" s="1120"/>
      <c r="AI25" s="1097"/>
      <c r="AJ25" s="1097"/>
      <c r="AK25" s="1097"/>
      <c r="AL25" s="1098"/>
      <c r="AM25" s="1094"/>
    </row>
    <row r="26" spans="1:39" ht="12" customHeight="1">
      <c r="A26" s="1196"/>
      <c r="B26" s="1197"/>
      <c r="C26" s="1177"/>
      <c r="D26" s="1123"/>
      <c r="E26" s="1123"/>
      <c r="F26" s="1123"/>
      <c r="G26" s="1123"/>
      <c r="H26" s="1123"/>
      <c r="I26" s="1123"/>
      <c r="J26" s="1123"/>
      <c r="K26" s="1182"/>
      <c r="L26" s="1183"/>
      <c r="M26" s="1119" t="s">
        <v>274</v>
      </c>
      <c r="N26" s="1120"/>
      <c r="O26" s="1120"/>
      <c r="P26" s="1120"/>
      <c r="Q26" s="1097"/>
      <c r="R26" s="1097"/>
      <c r="S26" s="1097"/>
      <c r="T26" s="1098"/>
      <c r="U26" s="1094" t="s">
        <v>6</v>
      </c>
      <c r="V26" s="1119" t="s">
        <v>276</v>
      </c>
      <c r="W26" s="1120"/>
      <c r="X26" s="1120"/>
      <c r="Y26" s="1120"/>
      <c r="Z26" s="1097"/>
      <c r="AA26" s="1097"/>
      <c r="AB26" s="1097"/>
      <c r="AC26" s="1098"/>
      <c r="AD26" s="1094" t="s">
        <v>6</v>
      </c>
      <c r="AE26" s="1102" t="s">
        <v>278</v>
      </c>
      <c r="AF26" s="1103"/>
      <c r="AG26" s="1103"/>
      <c r="AH26" s="1103"/>
      <c r="AI26" s="1106">
        <f>IF(入力画面!C27="","",入力画面!N28)</f>
        <v>0</v>
      </c>
      <c r="AJ26" s="1106"/>
      <c r="AK26" s="1106"/>
      <c r="AL26" s="1107"/>
      <c r="AM26" s="1110" t="s">
        <v>6</v>
      </c>
    </row>
    <row r="27" spans="1:39" ht="12" customHeight="1">
      <c r="A27" s="1198"/>
      <c r="B27" s="1199"/>
      <c r="C27" s="1178"/>
      <c r="D27" s="1179"/>
      <c r="E27" s="1179"/>
      <c r="F27" s="1179"/>
      <c r="G27" s="1179"/>
      <c r="H27" s="1179"/>
      <c r="I27" s="1179"/>
      <c r="J27" s="1179"/>
      <c r="K27" s="1184"/>
      <c r="L27" s="1185"/>
      <c r="M27" s="1128"/>
      <c r="N27" s="1129"/>
      <c r="O27" s="1129"/>
      <c r="P27" s="1129"/>
      <c r="Q27" s="1130"/>
      <c r="R27" s="1130"/>
      <c r="S27" s="1130"/>
      <c r="T27" s="1131"/>
      <c r="U27" s="1127"/>
      <c r="V27" s="1128"/>
      <c r="W27" s="1129"/>
      <c r="X27" s="1129"/>
      <c r="Y27" s="1129"/>
      <c r="Z27" s="1130"/>
      <c r="AA27" s="1130"/>
      <c r="AB27" s="1130"/>
      <c r="AC27" s="1131"/>
      <c r="AD27" s="1127"/>
      <c r="AE27" s="1104"/>
      <c r="AF27" s="1105"/>
      <c r="AG27" s="1105"/>
      <c r="AH27" s="1105"/>
      <c r="AI27" s="1108"/>
      <c r="AJ27" s="1108"/>
      <c r="AK27" s="1108"/>
      <c r="AL27" s="1109"/>
      <c r="AM27" s="1111"/>
    </row>
    <row r="28" spans="1:39" ht="10.15" customHeight="1" thickBot="1"/>
    <row r="29" spans="1:39" ht="8.4499999999999993" hidden="1" customHeight="1" thickBot="1"/>
    <row r="30" spans="1:39" ht="15" customHeight="1" thickTop="1">
      <c r="A30" s="1132" t="s">
        <v>346</v>
      </c>
      <c r="B30" s="1133"/>
      <c r="C30" s="1133"/>
      <c r="D30" s="1133"/>
      <c r="E30" s="1173"/>
      <c r="F30" s="1159">
        <f>SUM(F34:K37)</f>
        <v>21400</v>
      </c>
      <c r="G30" s="1160"/>
      <c r="H30" s="1160"/>
      <c r="I30" s="1160"/>
      <c r="J30" s="1160"/>
      <c r="K30" s="1160"/>
      <c r="L30" s="1160"/>
      <c r="M30" s="1160"/>
      <c r="N30" s="1160"/>
      <c r="O30" s="1121" t="s">
        <v>6</v>
      </c>
      <c r="P30" s="1122"/>
      <c r="Q30" s="1170" t="s">
        <v>286</v>
      </c>
      <c r="R30" s="1171"/>
      <c r="S30" s="1124"/>
      <c r="T30" s="1132" t="s">
        <v>281</v>
      </c>
      <c r="U30" s="1133"/>
      <c r="V30" s="1133"/>
      <c r="W30" s="1133"/>
      <c r="X30" s="1133"/>
      <c r="Y30" s="1167" t="s">
        <v>312</v>
      </c>
      <c r="Z30" s="1151"/>
      <c r="AA30" s="1151"/>
      <c r="AB30" s="1099">
        <f>IF(入力画面!W11="",F30/B32,"")</f>
        <v>1783</v>
      </c>
      <c r="AC30" s="1099"/>
      <c r="AD30" s="1099"/>
      <c r="AE30" s="1099"/>
      <c r="AF30" s="1099"/>
      <c r="AG30" s="1099"/>
      <c r="AH30" s="1121" t="s">
        <v>6</v>
      </c>
      <c r="AI30" s="1122"/>
    </row>
    <row r="31" spans="1:39" ht="15" customHeight="1">
      <c r="A31" s="1134"/>
      <c r="B31" s="1135"/>
      <c r="C31" s="1135"/>
      <c r="D31" s="1135"/>
      <c r="E31" s="1174"/>
      <c r="F31" s="1161"/>
      <c r="G31" s="1162"/>
      <c r="H31" s="1162"/>
      <c r="I31" s="1162"/>
      <c r="J31" s="1162"/>
      <c r="K31" s="1162"/>
      <c r="L31" s="1162"/>
      <c r="M31" s="1162"/>
      <c r="N31" s="1162"/>
      <c r="O31" s="1123"/>
      <c r="P31" s="1124"/>
      <c r="Q31" s="1170"/>
      <c r="R31" s="1171"/>
      <c r="S31" s="1124"/>
      <c r="T31" s="1134"/>
      <c r="U31" s="1135"/>
      <c r="V31" s="1135"/>
      <c r="W31" s="1135"/>
      <c r="X31" s="1135"/>
      <c r="Y31" s="1168"/>
      <c r="Z31" s="1153"/>
      <c r="AA31" s="1153"/>
      <c r="AB31" s="1100"/>
      <c r="AC31" s="1100"/>
      <c r="AD31" s="1100"/>
      <c r="AE31" s="1100"/>
      <c r="AF31" s="1100"/>
      <c r="AG31" s="1100"/>
      <c r="AH31" s="1123"/>
      <c r="AI31" s="1124"/>
    </row>
    <row r="32" spans="1:39" ht="15" customHeight="1" thickBot="1">
      <c r="A32" s="512" t="s">
        <v>282</v>
      </c>
      <c r="B32" s="513">
        <f>IF(入力画面!W11="",入力画面!I13,"")</f>
        <v>12</v>
      </c>
      <c r="C32" s="514" t="s">
        <v>284</v>
      </c>
      <c r="D32" s="514" t="s">
        <v>283</v>
      </c>
      <c r="E32" s="514" t="s">
        <v>285</v>
      </c>
      <c r="F32" s="1163"/>
      <c r="G32" s="1164"/>
      <c r="H32" s="1164"/>
      <c r="I32" s="1164"/>
      <c r="J32" s="1164"/>
      <c r="K32" s="1164"/>
      <c r="L32" s="1164"/>
      <c r="M32" s="1164"/>
      <c r="N32" s="1164"/>
      <c r="O32" s="1125"/>
      <c r="P32" s="1126"/>
      <c r="Q32" s="1170"/>
      <c r="R32" s="1171"/>
      <c r="S32" s="1124"/>
      <c r="T32" s="1136"/>
      <c r="U32" s="1137"/>
      <c r="V32" s="1137"/>
      <c r="W32" s="1137"/>
      <c r="X32" s="1137"/>
      <c r="Y32" s="1169"/>
      <c r="Z32" s="1155"/>
      <c r="AA32" s="1155"/>
      <c r="AB32" s="1101"/>
      <c r="AC32" s="1101"/>
      <c r="AD32" s="1101"/>
      <c r="AE32" s="1101"/>
      <c r="AF32" s="1101"/>
      <c r="AG32" s="1101"/>
      <c r="AH32" s="1125"/>
      <c r="AI32" s="1126"/>
    </row>
    <row r="33" spans="1:40" ht="15" customHeight="1" thickTop="1" thickBot="1">
      <c r="B33" s="510" t="s">
        <v>290</v>
      </c>
      <c r="C33" s="515"/>
      <c r="D33" s="510"/>
      <c r="E33" s="510"/>
      <c r="F33" s="510"/>
      <c r="G33" s="510"/>
      <c r="H33" s="510"/>
      <c r="I33" s="510"/>
      <c r="J33" s="510"/>
      <c r="K33" s="510"/>
      <c r="L33" s="510"/>
    </row>
    <row r="34" spans="1:40" ht="19.5" customHeight="1" thickTop="1">
      <c r="B34" s="510"/>
      <c r="C34" s="1186" t="s">
        <v>287</v>
      </c>
      <c r="D34" s="1187"/>
      <c r="E34" s="1188"/>
      <c r="F34" s="1192">
        <f>'合計（印刷）'!$F$6</f>
        <v>15900</v>
      </c>
      <c r="G34" s="1193"/>
      <c r="H34" s="1193"/>
      <c r="I34" s="1193"/>
      <c r="J34" s="1193"/>
      <c r="K34" s="1193"/>
      <c r="L34" s="516" t="s">
        <v>6</v>
      </c>
      <c r="T34" s="1115" t="s">
        <v>375</v>
      </c>
      <c r="U34" s="1113"/>
      <c r="V34" s="1113"/>
      <c r="W34" s="1113"/>
      <c r="X34" s="1113"/>
      <c r="Y34" s="1113"/>
      <c r="Z34" s="1113"/>
      <c r="AA34" s="1113"/>
      <c r="AB34" s="1113"/>
      <c r="AC34" s="1113"/>
      <c r="AD34" s="1116"/>
      <c r="AE34" s="1112" t="s">
        <v>305</v>
      </c>
      <c r="AF34" s="1113"/>
      <c r="AG34" s="1113"/>
      <c r="AH34" s="1114"/>
    </row>
    <row r="35" spans="1:40" ht="19.5" customHeight="1">
      <c r="B35" s="510"/>
      <c r="C35" s="1189" t="s">
        <v>289</v>
      </c>
      <c r="D35" s="1190"/>
      <c r="E35" s="1191"/>
      <c r="F35" s="1165">
        <f>'医療分・支援・子供・介護分（印刷））'!$L$353</f>
        <v>0</v>
      </c>
      <c r="G35" s="1166"/>
      <c r="H35" s="1166"/>
      <c r="I35" s="1166"/>
      <c r="J35" s="1166"/>
      <c r="K35" s="1166"/>
      <c r="L35" s="517" t="s">
        <v>6</v>
      </c>
      <c r="T35" s="1146" t="s">
        <v>34</v>
      </c>
      <c r="U35" s="1141"/>
      <c r="V35" s="1147"/>
      <c r="W35" s="1143" t="e">
        <f>IF(入力画面!Z25=10,入力画面!AC14,"")</f>
        <v>#N/A</v>
      </c>
      <c r="X35" s="1144"/>
      <c r="Y35" s="1144"/>
      <c r="Z35" s="1144"/>
      <c r="AA35" s="1144"/>
      <c r="AB35" s="1145"/>
      <c r="AC35" s="1140" t="s">
        <v>6</v>
      </c>
      <c r="AD35" s="1147"/>
      <c r="AE35" s="1140" t="s">
        <v>295</v>
      </c>
      <c r="AF35" s="1141"/>
      <c r="AG35" s="1141"/>
      <c r="AH35" s="1142"/>
    </row>
    <row r="36" spans="1:40" ht="19.5" customHeight="1">
      <c r="B36" s="510"/>
      <c r="C36" s="1189" t="s">
        <v>288</v>
      </c>
      <c r="D36" s="1190"/>
      <c r="E36" s="1191"/>
      <c r="F36" s="1165">
        <f>'医療分・支援・子供・介護分（印刷））'!$L$176</f>
        <v>5500</v>
      </c>
      <c r="G36" s="1166"/>
      <c r="H36" s="1166"/>
      <c r="I36" s="1166"/>
      <c r="J36" s="1166"/>
      <c r="K36" s="1166"/>
      <c r="L36" s="517" t="s">
        <v>6</v>
      </c>
      <c r="T36" s="1146" t="s">
        <v>35</v>
      </c>
      <c r="U36" s="1141"/>
      <c r="V36" s="1147"/>
      <c r="W36" s="1143" t="e">
        <f>IF(入力画面!Z25=9,入力画面!AC15,IF(入力画面!Z25=10,入力画面!AA14,""))</f>
        <v>#N/A</v>
      </c>
      <c r="X36" s="1144"/>
      <c r="Y36" s="1144"/>
      <c r="Z36" s="1144"/>
      <c r="AA36" s="1144"/>
      <c r="AB36" s="1145"/>
      <c r="AC36" s="1140" t="s">
        <v>6</v>
      </c>
      <c r="AD36" s="1147"/>
      <c r="AE36" s="1140" t="s">
        <v>296</v>
      </c>
      <c r="AF36" s="1141"/>
      <c r="AG36" s="1141"/>
      <c r="AH36" s="1142"/>
    </row>
    <row r="37" spans="1:40" ht="19.5" customHeight="1">
      <c r="B37" s="510"/>
      <c r="C37" s="1208" t="s">
        <v>408</v>
      </c>
      <c r="D37" s="1209"/>
      <c r="E37" s="1210"/>
      <c r="F37" s="1230">
        <f>'医療分・支援・子供・介護分（印刷））'!$L$264</f>
        <v>0</v>
      </c>
      <c r="G37" s="1231"/>
      <c r="H37" s="1231"/>
      <c r="I37" s="1231"/>
      <c r="J37" s="1231"/>
      <c r="K37" s="1231"/>
      <c r="L37" s="668" t="s">
        <v>6</v>
      </c>
      <c r="Q37" s="511"/>
      <c r="T37" s="1146" t="s">
        <v>36</v>
      </c>
      <c r="U37" s="1141"/>
      <c r="V37" s="1147"/>
      <c r="W37" s="1143" t="e">
        <f>IF(入力画面!Z25=8,入力画面!AC16,IF(入力画面!Z25=9,入力画面!AA15,IF(入力画面!Z25=10,入力画面!AA14,"")))</f>
        <v>#N/A</v>
      </c>
      <c r="X37" s="1144"/>
      <c r="Y37" s="1144"/>
      <c r="Z37" s="1144"/>
      <c r="AA37" s="1144"/>
      <c r="AB37" s="1145"/>
      <c r="AC37" s="1140" t="s">
        <v>6</v>
      </c>
      <c r="AD37" s="1147"/>
      <c r="AE37" s="1140" t="s">
        <v>297</v>
      </c>
      <c r="AF37" s="1141"/>
      <c r="AG37" s="1141"/>
      <c r="AH37" s="1142"/>
    </row>
    <row r="38" spans="1:40" ht="19.5" customHeight="1" thickBot="1">
      <c r="B38" s="669" t="s">
        <v>308</v>
      </c>
      <c r="C38" s="1149" t="s">
        <v>350</v>
      </c>
      <c r="D38" s="1149"/>
      <c r="E38" s="1149"/>
      <c r="F38" s="1149"/>
      <c r="G38" s="1149"/>
      <c r="H38" s="1149"/>
      <c r="I38" s="1149"/>
      <c r="J38" s="1149"/>
      <c r="K38" s="1224">
        <f>入力画面!G9</f>
        <v>7</v>
      </c>
      <c r="L38" s="1224"/>
      <c r="M38" s="1229" t="s">
        <v>311</v>
      </c>
      <c r="N38" s="1229"/>
      <c r="O38" s="611" t="s">
        <v>368</v>
      </c>
      <c r="P38" s="611"/>
      <c r="Q38" s="611"/>
      <c r="R38" s="611"/>
      <c r="T38" s="1146" t="s">
        <v>43</v>
      </c>
      <c r="U38" s="1141"/>
      <c r="V38" s="1147"/>
      <c r="W38" s="1143" t="e">
        <f>IF(入力画面!Z25=7,入力画面!AC17,IF(入力画面!Z25=8,入力画面!AA16,IF(入力画面!Z25=9,入力画面!AA15,IF(入力画面!Z25=10,入力画面!AA14,""))))</f>
        <v>#N/A</v>
      </c>
      <c r="X38" s="1144"/>
      <c r="Y38" s="1144"/>
      <c r="Z38" s="1144"/>
      <c r="AA38" s="1144"/>
      <c r="AB38" s="1145"/>
      <c r="AC38" s="1140" t="s">
        <v>6</v>
      </c>
      <c r="AD38" s="1147"/>
      <c r="AE38" s="1140" t="s">
        <v>298</v>
      </c>
      <c r="AF38" s="1141"/>
      <c r="AG38" s="1141"/>
      <c r="AH38" s="1142"/>
    </row>
    <row r="39" spans="1:40" ht="19.5" customHeight="1">
      <c r="B39" s="521" t="s">
        <v>309</v>
      </c>
      <c r="C39" s="1233" t="s">
        <v>373</v>
      </c>
      <c r="D39" s="1233"/>
      <c r="E39" s="1233"/>
      <c r="F39" s="1233"/>
      <c r="G39" s="1233"/>
      <c r="H39" s="1233"/>
      <c r="I39" s="1233"/>
      <c r="J39" s="1233"/>
      <c r="K39" s="1233"/>
      <c r="L39" s="1233"/>
      <c r="M39" s="1233"/>
      <c r="N39" s="1233"/>
      <c r="O39" s="1233"/>
      <c r="P39" s="1233"/>
      <c r="Q39" s="1233"/>
      <c r="R39" s="1233"/>
      <c r="T39" s="1146" t="s">
        <v>37</v>
      </c>
      <c r="U39" s="1141"/>
      <c r="V39" s="1147"/>
      <c r="W39" s="1143" t="e">
        <f>IF(入力画面!Z25=6,入力画面!AC18,IF(入力画面!Z25=7,入力画面!AA17,IF(入力画面!Z25=8,入力画面!AA16,IF(入力画面!Z25=9,入力画面!AA15,IF(入力画面!Z25=10,入力画面!AA14,"")))))</f>
        <v>#N/A</v>
      </c>
      <c r="X39" s="1144"/>
      <c r="Y39" s="1144"/>
      <c r="Z39" s="1144"/>
      <c r="AA39" s="1144"/>
      <c r="AB39" s="1145"/>
      <c r="AC39" s="1140" t="s">
        <v>6</v>
      </c>
      <c r="AD39" s="1147"/>
      <c r="AE39" s="1140" t="s">
        <v>299</v>
      </c>
      <c r="AF39" s="1141"/>
      <c r="AG39" s="1141"/>
      <c r="AH39" s="1142"/>
    </row>
    <row r="40" spans="1:40" ht="19.5" customHeight="1" thickBot="1">
      <c r="B40" s="510"/>
      <c r="C40" s="609" t="s">
        <v>369</v>
      </c>
      <c r="D40" s="609"/>
      <c r="E40" s="609"/>
      <c r="F40" s="609"/>
      <c r="G40" s="610"/>
      <c r="H40" s="610"/>
      <c r="I40" s="1224">
        <f>入力画面!V14</f>
        <v>0</v>
      </c>
      <c r="J40" s="1224"/>
      <c r="K40" s="613" t="s">
        <v>367</v>
      </c>
      <c r="L40" s="613"/>
      <c r="M40" s="609" t="s">
        <v>370</v>
      </c>
      <c r="N40" s="609"/>
      <c r="O40" s="611"/>
      <c r="P40" s="611"/>
      <c r="Q40" s="612"/>
      <c r="R40" s="611"/>
      <c r="T40" s="1146" t="s">
        <v>38</v>
      </c>
      <c r="U40" s="1141"/>
      <c r="V40" s="1147"/>
      <c r="W40" s="1143" t="e">
        <f>IF(入力画面!Z25=5,入力画面!AC19,IF(入力画面!Z25=6,入力画面!AA18,IF(入力画面!Z25=7,入力画面!AA17,IF(入力画面!Z25=8,入力画面!AA16,IF(入力画面!Z25=9,入力画面!AA15,IF(入力画面!Z25=10,入力画面!AA14,""))))))</f>
        <v>#N/A</v>
      </c>
      <c r="X40" s="1144"/>
      <c r="Y40" s="1144"/>
      <c r="Z40" s="1144"/>
      <c r="AA40" s="1144"/>
      <c r="AB40" s="1145"/>
      <c r="AC40" s="1140" t="s">
        <v>6</v>
      </c>
      <c r="AD40" s="1147"/>
      <c r="AE40" s="1140" t="s">
        <v>300</v>
      </c>
      <c r="AF40" s="1141"/>
      <c r="AG40" s="1141"/>
      <c r="AH40" s="1142"/>
    </row>
    <row r="41" spans="1:40" ht="19.5" customHeight="1" thickBot="1">
      <c r="B41" s="612"/>
      <c r="C41" s="611" t="s">
        <v>384</v>
      </c>
      <c r="D41" s="611"/>
      <c r="E41" s="611"/>
      <c r="F41" s="611"/>
      <c r="G41" s="611"/>
      <c r="H41" s="611"/>
      <c r="I41" s="611"/>
      <c r="J41" s="611"/>
      <c r="K41" s="611"/>
      <c r="L41" s="602"/>
      <c r="M41" s="602"/>
      <c r="N41" s="602"/>
      <c r="O41" s="602"/>
      <c r="P41" s="602"/>
      <c r="Q41" s="602"/>
      <c r="R41" s="603" t="str">
        <f>IF(Q43="","","↑支払い回数割額は実際とは異なります")</f>
        <v/>
      </c>
      <c r="T41" s="1146" t="s">
        <v>39</v>
      </c>
      <c r="U41" s="1141"/>
      <c r="V41" s="1147"/>
      <c r="W41" s="1143" t="e">
        <f>IF(入力画面!Z25=4,入力画面!AC20,IF(入力画面!Z25=5,入力画面!AA19,IF(入力画面!Z25=6,入力画面!AA18,IF(入力画面!Z25=7,入力画面!AA17,IF(入力画面!Z25=8,入力画面!AA16,IF(入力画面!Z25=9,入力画面!AA15,IF(入力画面!Z25=10,入力画面!AA14,"")))))))</f>
        <v>#N/A</v>
      </c>
      <c r="X41" s="1144"/>
      <c r="Y41" s="1144"/>
      <c r="Z41" s="1144"/>
      <c r="AA41" s="1144"/>
      <c r="AB41" s="1145"/>
      <c r="AC41" s="1140" t="s">
        <v>6</v>
      </c>
      <c r="AD41" s="1147"/>
      <c r="AE41" s="1140" t="s">
        <v>301</v>
      </c>
      <c r="AF41" s="1141"/>
      <c r="AG41" s="1141"/>
      <c r="AH41" s="1142"/>
    </row>
    <row r="42" spans="1:40" ht="19.5" customHeight="1" thickTop="1">
      <c r="C42" s="1214" t="s">
        <v>366</v>
      </c>
      <c r="D42" s="1215"/>
      <c r="E42" s="1215"/>
      <c r="F42" s="1215"/>
      <c r="G42" s="1215"/>
      <c r="H42" s="1215"/>
      <c r="I42" s="1215"/>
      <c r="J42" s="1215"/>
      <c r="K42" s="1215"/>
      <c r="L42" s="1216"/>
      <c r="T42" s="1146" t="s">
        <v>40</v>
      </c>
      <c r="U42" s="1141"/>
      <c r="V42" s="1147"/>
      <c r="W42" s="1143" t="e">
        <f>IF(入力画面!Z25=3,入力画面!AC21,IF(入力画面!Z25=4,入力画面!AA20,IF(入力画面!Z25=5,入力画面!AA19,IF(入力画面!Z25=6,入力画面!AA18,IF(入力画面!Z25=7,入力画面!AA17,IF(入力画面!Z25=8,入力画面!AA16,IF(入力画面!Z25=9,入力画面!AA15,IF(入力画面!Z25=10,入力画面!AA14,""))))))))</f>
        <v>#N/A</v>
      </c>
      <c r="X42" s="1144"/>
      <c r="Y42" s="1144"/>
      <c r="Z42" s="1144"/>
      <c r="AA42" s="1144"/>
      <c r="AB42" s="1145"/>
      <c r="AC42" s="1140" t="s">
        <v>6</v>
      </c>
      <c r="AD42" s="1147"/>
      <c r="AE42" s="1140" t="s">
        <v>302</v>
      </c>
      <c r="AF42" s="1141"/>
      <c r="AG42" s="1141"/>
      <c r="AH42" s="1142"/>
    </row>
    <row r="43" spans="1:40" ht="19.5" customHeight="1">
      <c r="C43" s="1220"/>
      <c r="D43" s="1221"/>
      <c r="E43" s="1221"/>
      <c r="F43" s="1221"/>
      <c r="G43" s="1221"/>
      <c r="H43" s="1221"/>
      <c r="I43" s="1225" t="s">
        <v>306</v>
      </c>
      <c r="J43" s="1225"/>
      <c r="K43" s="1225"/>
      <c r="L43" s="1226"/>
      <c r="T43" s="1146" t="s">
        <v>41</v>
      </c>
      <c r="U43" s="1141"/>
      <c r="V43" s="1147"/>
      <c r="W43" s="1143" t="e">
        <f>IF(入力画面!Z25=2,入力画面!AC22,IF(入力画面!Z25=1,"",VLOOKUP(入力画面!P10,入力画面!Y14:AA23,3,FALSE)))</f>
        <v>#N/A</v>
      </c>
      <c r="X43" s="1144"/>
      <c r="Y43" s="1144"/>
      <c r="Z43" s="1144"/>
      <c r="AA43" s="1144"/>
      <c r="AB43" s="1145"/>
      <c r="AC43" s="1140" t="s">
        <v>6</v>
      </c>
      <c r="AD43" s="1147"/>
      <c r="AE43" s="1140" t="s">
        <v>303</v>
      </c>
      <c r="AF43" s="1141"/>
      <c r="AG43" s="1141"/>
      <c r="AH43" s="1142"/>
    </row>
    <row r="44" spans="1:40" ht="19.5" customHeight="1" thickBot="1">
      <c r="C44" s="1222"/>
      <c r="D44" s="1223"/>
      <c r="E44" s="1223"/>
      <c r="F44" s="1223"/>
      <c r="G44" s="1223"/>
      <c r="H44" s="1223"/>
      <c r="I44" s="1227"/>
      <c r="J44" s="1227"/>
      <c r="K44" s="1227"/>
      <c r="L44" s="1228"/>
      <c r="T44" s="1239" t="s">
        <v>194</v>
      </c>
      <c r="U44" s="1237"/>
      <c r="V44" s="1240"/>
      <c r="W44" s="1156" t="e">
        <f>VLOOKUP(入力画面!P10,入力画面!Y14:AA23,3,FALSE)</f>
        <v>#N/A</v>
      </c>
      <c r="X44" s="1157"/>
      <c r="Y44" s="1157"/>
      <c r="Z44" s="1157"/>
      <c r="AA44" s="1157"/>
      <c r="AB44" s="1158"/>
      <c r="AC44" s="1236" t="s">
        <v>6</v>
      </c>
      <c r="AD44" s="1240"/>
      <c r="AE44" s="1236" t="s">
        <v>304</v>
      </c>
      <c r="AF44" s="1237"/>
      <c r="AG44" s="1237"/>
      <c r="AH44" s="1238"/>
    </row>
    <row r="45" spans="1:40" ht="14.25" customHeight="1" thickTop="1">
      <c r="B45" s="670" t="s">
        <v>431</v>
      </c>
      <c r="C45" s="1218" t="s">
        <v>434</v>
      </c>
      <c r="D45" s="1219"/>
      <c r="E45" s="1219"/>
      <c r="F45" s="1219"/>
      <c r="G45" s="1219"/>
      <c r="H45" s="1219"/>
      <c r="I45" s="1219"/>
      <c r="J45" s="1219"/>
      <c r="K45" s="1219"/>
      <c r="L45" s="1219"/>
      <c r="M45" s="1219"/>
      <c r="N45" s="1219"/>
      <c r="O45" s="1219"/>
      <c r="P45" s="1219"/>
      <c r="Q45" s="1219"/>
      <c r="R45" s="1219"/>
      <c r="T45" s="1211" t="s">
        <v>374</v>
      </c>
      <c r="U45" s="1212"/>
      <c r="V45" s="1212"/>
      <c r="W45" s="1212"/>
      <c r="X45" s="1212"/>
      <c r="Y45" s="1212"/>
      <c r="Z45" s="1212"/>
      <c r="AA45" s="1212"/>
      <c r="AB45" s="1212"/>
      <c r="AC45" s="1212"/>
      <c r="AD45" s="1212"/>
      <c r="AE45" s="1212"/>
      <c r="AF45" s="1212"/>
      <c r="AG45" s="1212"/>
      <c r="AH45" s="1212"/>
      <c r="AI45" s="1212"/>
      <c r="AJ45" s="1212"/>
      <c r="AK45" s="1212"/>
      <c r="AL45" s="1212"/>
    </row>
    <row r="46" spans="1:40" ht="36.75" customHeight="1">
      <c r="T46" s="1235" t="s">
        <v>376</v>
      </c>
      <c r="U46" s="1235"/>
      <c r="V46" s="1235"/>
      <c r="W46" s="1235"/>
      <c r="X46" s="1235"/>
      <c r="Y46" s="1235"/>
      <c r="Z46" s="1235"/>
      <c r="AA46" s="1235"/>
      <c r="AB46" s="1235"/>
      <c r="AC46" s="1235"/>
      <c r="AD46" s="1235"/>
      <c r="AE46" s="1235"/>
      <c r="AF46" s="1235"/>
      <c r="AG46" s="1235"/>
      <c r="AH46" s="1235"/>
      <c r="AI46" s="1235"/>
      <c r="AJ46" s="1235"/>
      <c r="AK46" s="1235"/>
      <c r="AL46" s="1235"/>
    </row>
    <row r="47" spans="1:40" ht="9.75" customHeight="1" thickBot="1">
      <c r="A47" s="518"/>
      <c r="B47" s="518"/>
      <c r="C47" s="518"/>
      <c r="D47" s="518"/>
      <c r="E47" s="518"/>
      <c r="F47" s="518"/>
      <c r="G47" s="518"/>
      <c r="H47" s="518"/>
      <c r="I47" s="518"/>
      <c r="J47" s="518"/>
      <c r="K47" s="518"/>
      <c r="L47" s="518"/>
      <c r="M47" s="518"/>
      <c r="N47" s="518"/>
      <c r="O47" s="518"/>
      <c r="P47" s="518"/>
      <c r="Q47" s="518"/>
      <c r="R47" s="518"/>
      <c r="S47" s="518"/>
      <c r="T47" s="519"/>
      <c r="U47" s="519"/>
      <c r="V47" s="519"/>
      <c r="W47" s="519"/>
      <c r="X47" s="519"/>
      <c r="Y47" s="519"/>
      <c r="Z47" s="519"/>
      <c r="AA47" s="519"/>
      <c r="AB47" s="519"/>
      <c r="AC47" s="519"/>
      <c r="AD47" s="519"/>
      <c r="AE47" s="519"/>
      <c r="AF47" s="519"/>
      <c r="AG47" s="519"/>
      <c r="AH47" s="519"/>
      <c r="AI47" s="519"/>
      <c r="AJ47" s="519"/>
      <c r="AK47" s="519"/>
      <c r="AL47" s="519"/>
      <c r="AM47" s="518"/>
      <c r="AN47" s="518"/>
    </row>
    <row r="48" spans="1:40" ht="15" customHeight="1" thickTop="1">
      <c r="A48" s="1217" t="s">
        <v>347</v>
      </c>
      <c r="B48" s="1217"/>
      <c r="C48" s="1217"/>
      <c r="D48" s="1217"/>
      <c r="E48" s="1217"/>
      <c r="F48" s="1217"/>
      <c r="G48" s="1217"/>
      <c r="H48" s="1217"/>
      <c r="I48" s="1217"/>
      <c r="J48" s="1217"/>
      <c r="K48" s="1217"/>
      <c r="L48" s="1217"/>
      <c r="M48" s="1217"/>
      <c r="O48" s="508" t="s">
        <v>348</v>
      </c>
      <c r="P48" s="1213" t="s">
        <v>293</v>
      </c>
      <c r="Q48" s="1121"/>
      <c r="R48" s="1121"/>
      <c r="S48" s="1150" t="str">
        <f>IF(入力画面!W11="","",F30-入力画面!W11)</f>
        <v/>
      </c>
      <c r="T48" s="1151"/>
      <c r="U48" s="1151"/>
      <c r="V48" s="1151"/>
      <c r="W48" s="1151"/>
      <c r="X48" s="1151"/>
      <c r="Y48" s="1122" t="s">
        <v>6</v>
      </c>
      <c r="Z48" s="1170" t="s">
        <v>286</v>
      </c>
      <c r="AA48" s="1171"/>
      <c r="AB48" s="1124"/>
      <c r="AC48" s="1132" t="s">
        <v>281</v>
      </c>
      <c r="AD48" s="1133"/>
      <c r="AE48" s="1133"/>
      <c r="AF48" s="1150" t="str">
        <f>IF(入力画面!W11="","",S48/P50)</f>
        <v/>
      </c>
      <c r="AG48" s="1151"/>
      <c r="AH48" s="1151"/>
      <c r="AI48" s="1151"/>
      <c r="AJ48" s="1151"/>
      <c r="AK48" s="1151"/>
      <c r="AL48" s="1122" t="s">
        <v>6</v>
      </c>
    </row>
    <row r="49" spans="1:46" ht="15" customHeight="1">
      <c r="A49" s="1171" t="s">
        <v>351</v>
      </c>
      <c r="B49" s="1171"/>
      <c r="C49" s="1171"/>
      <c r="D49" s="1171"/>
      <c r="E49" s="1171"/>
      <c r="F49" s="1171"/>
      <c r="G49" s="1171"/>
      <c r="H49" s="1171"/>
      <c r="I49" s="1148" t="str">
        <f>IF(入力画面!W11="","",入力画面!W11)</f>
        <v/>
      </c>
      <c r="J49" s="1148"/>
      <c r="K49" s="1148"/>
      <c r="L49" s="1148"/>
      <c r="M49" s="1148"/>
      <c r="O49" s="508" t="s">
        <v>349</v>
      </c>
      <c r="P49" s="1170"/>
      <c r="Q49" s="1123"/>
      <c r="R49" s="1123"/>
      <c r="S49" s="1152"/>
      <c r="T49" s="1153"/>
      <c r="U49" s="1153"/>
      <c r="V49" s="1153"/>
      <c r="W49" s="1153"/>
      <c r="X49" s="1153"/>
      <c r="Y49" s="1124"/>
      <c r="Z49" s="1170"/>
      <c r="AA49" s="1171"/>
      <c r="AB49" s="1124"/>
      <c r="AC49" s="1134"/>
      <c r="AD49" s="1135"/>
      <c r="AE49" s="1135"/>
      <c r="AF49" s="1152"/>
      <c r="AG49" s="1153"/>
      <c r="AH49" s="1153"/>
      <c r="AI49" s="1153"/>
      <c r="AJ49" s="1153"/>
      <c r="AK49" s="1153"/>
      <c r="AL49" s="1124"/>
    </row>
    <row r="50" spans="1:46" ht="15" customHeight="1" thickBot="1">
      <c r="P50" s="549" t="str">
        <f>IF(入力画面!W11="","",入力画面!I13)</f>
        <v/>
      </c>
      <c r="Q50" s="1241" t="s">
        <v>294</v>
      </c>
      <c r="R50" s="1241"/>
      <c r="S50" s="1154"/>
      <c r="T50" s="1155"/>
      <c r="U50" s="1155"/>
      <c r="V50" s="1155"/>
      <c r="W50" s="1155"/>
      <c r="X50" s="1155"/>
      <c r="Y50" s="1126"/>
      <c r="Z50" s="1170"/>
      <c r="AA50" s="1171"/>
      <c r="AB50" s="1124"/>
      <c r="AC50" s="1136"/>
      <c r="AD50" s="1137"/>
      <c r="AE50" s="1137"/>
      <c r="AF50" s="1154"/>
      <c r="AG50" s="1155"/>
      <c r="AH50" s="1155"/>
      <c r="AI50" s="1155"/>
      <c r="AJ50" s="1155"/>
      <c r="AK50" s="1155"/>
      <c r="AL50" s="1126"/>
    </row>
    <row r="51" spans="1:46" ht="9.75" customHeight="1" thickTop="1">
      <c r="A51" s="520"/>
      <c r="B51" s="520"/>
      <c r="C51" s="520"/>
      <c r="D51" s="520"/>
      <c r="E51" s="520"/>
      <c r="F51" s="520"/>
      <c r="G51" s="520"/>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520"/>
      <c r="AF51" s="520"/>
      <c r="AG51" s="520"/>
      <c r="AH51" s="520"/>
      <c r="AI51" s="520"/>
      <c r="AJ51" s="520"/>
      <c r="AK51" s="520"/>
      <c r="AL51" s="520"/>
      <c r="AM51" s="520"/>
      <c r="AN51" s="520"/>
    </row>
    <row r="52" spans="1:46" s="510" customFormat="1" ht="15" customHeight="1">
      <c r="A52" s="601" t="s">
        <v>360</v>
      </c>
      <c r="B52" s="601" t="s">
        <v>372</v>
      </c>
      <c r="C52" s="601"/>
      <c r="D52" s="601"/>
      <c r="E52" s="601"/>
      <c r="F52" s="601"/>
      <c r="G52" s="601"/>
      <c r="H52" s="601"/>
      <c r="I52" s="601"/>
      <c r="J52" s="601"/>
      <c r="K52" s="601"/>
      <c r="L52" s="601"/>
      <c r="M52" s="601"/>
      <c r="N52" s="601"/>
      <c r="O52" s="601"/>
      <c r="P52" s="601"/>
      <c r="Q52" s="601"/>
      <c r="R52" s="601"/>
      <c r="S52" s="601"/>
      <c r="T52" s="601"/>
      <c r="U52" s="601"/>
      <c r="V52" s="601"/>
      <c r="W52" s="601"/>
      <c r="X52" s="601"/>
      <c r="Y52" s="601"/>
      <c r="Z52" s="601"/>
      <c r="AA52" s="601"/>
      <c r="AB52" s="601"/>
      <c r="AC52" s="601"/>
      <c r="AD52" s="601"/>
      <c r="AE52" s="601"/>
      <c r="AF52" s="601"/>
      <c r="AG52" s="601"/>
      <c r="AH52" s="601"/>
      <c r="AI52" s="601"/>
      <c r="AJ52" s="601"/>
      <c r="AK52" s="601"/>
      <c r="AL52" s="601"/>
      <c r="AM52" s="601"/>
      <c r="AN52" s="601"/>
    </row>
    <row r="53" spans="1:46" ht="15" customHeight="1">
      <c r="A53" s="601" t="s">
        <v>307</v>
      </c>
      <c r="B53" s="601" t="s">
        <v>361</v>
      </c>
      <c r="C53" s="601"/>
      <c r="D53" s="601"/>
      <c r="E53" s="601"/>
      <c r="F53" s="601"/>
      <c r="G53" s="601"/>
      <c r="H53" s="601"/>
      <c r="I53" s="601"/>
      <c r="J53" s="601"/>
      <c r="K53" s="601"/>
      <c r="L53" s="601"/>
      <c r="M53" s="601"/>
      <c r="N53" s="601"/>
      <c r="O53" s="601"/>
      <c r="P53" s="601"/>
      <c r="Q53" s="601"/>
      <c r="R53" s="601"/>
      <c r="S53" s="601"/>
      <c r="T53" s="601"/>
      <c r="U53" s="601"/>
      <c r="V53" s="601"/>
      <c r="W53" s="601"/>
      <c r="X53" s="601"/>
      <c r="Y53" s="601"/>
      <c r="Z53" s="601"/>
      <c r="AA53" s="601"/>
      <c r="AB53" s="601"/>
      <c r="AC53" s="601"/>
      <c r="AD53" s="601"/>
      <c r="AE53" s="601"/>
      <c r="AF53" s="601"/>
      <c r="AG53" s="601"/>
      <c r="AH53" s="601"/>
      <c r="AI53" s="601"/>
      <c r="AJ53" s="601"/>
      <c r="AK53" s="601"/>
      <c r="AL53" s="601"/>
      <c r="AM53" s="601"/>
      <c r="AN53" s="601"/>
    </row>
    <row r="54" spans="1:46" ht="15" customHeight="1">
      <c r="A54" s="601"/>
      <c r="B54" s="601" t="s">
        <v>310</v>
      </c>
      <c r="C54" s="601"/>
      <c r="D54" s="601"/>
      <c r="E54" s="601"/>
      <c r="F54" s="601"/>
      <c r="G54" s="601"/>
      <c r="H54" s="601"/>
      <c r="I54" s="601"/>
      <c r="J54" s="601"/>
      <c r="K54" s="601"/>
      <c r="L54" s="601"/>
      <c r="M54" s="601"/>
      <c r="N54" s="601"/>
      <c r="O54" s="601"/>
      <c r="P54" s="601"/>
      <c r="Q54" s="601"/>
      <c r="R54" s="601"/>
      <c r="S54" s="601"/>
      <c r="T54" s="601"/>
      <c r="U54" s="601"/>
      <c r="V54" s="601"/>
      <c r="W54" s="601"/>
      <c r="X54" s="601"/>
      <c r="Y54" s="601"/>
      <c r="Z54" s="601"/>
      <c r="AA54" s="601"/>
      <c r="AB54" s="601"/>
      <c r="AC54" s="601"/>
      <c r="AD54" s="601"/>
      <c r="AE54" s="601"/>
      <c r="AF54" s="601"/>
      <c r="AG54" s="601"/>
      <c r="AH54" s="601"/>
      <c r="AI54" s="601"/>
      <c r="AJ54" s="601"/>
      <c r="AK54" s="601"/>
      <c r="AL54" s="601"/>
      <c r="AM54" s="601"/>
      <c r="AN54" s="601"/>
    </row>
    <row r="55" spans="1:46" ht="15" customHeight="1">
      <c r="A55" s="601" t="s">
        <v>308</v>
      </c>
      <c r="B55" s="601" t="s">
        <v>386</v>
      </c>
      <c r="C55" s="601"/>
      <c r="D55" s="601"/>
      <c r="E55" s="601"/>
      <c r="F55" s="601"/>
      <c r="G55" s="601"/>
      <c r="H55" s="601"/>
      <c r="I55" s="601"/>
      <c r="J55" s="601"/>
      <c r="K55" s="601"/>
      <c r="L55" s="601"/>
      <c r="M55" s="601"/>
      <c r="N55" s="601"/>
      <c r="O55" s="601"/>
      <c r="P55" s="601"/>
      <c r="Q55" s="601"/>
      <c r="R55" s="601"/>
      <c r="S55" s="601"/>
      <c r="T55" s="601"/>
      <c r="U55" s="601"/>
      <c r="V55" s="601"/>
      <c r="W55" s="601"/>
      <c r="X55" s="601"/>
      <c r="Y55" s="601"/>
      <c r="Z55" s="601"/>
      <c r="AA55" s="601"/>
      <c r="AB55" s="601"/>
      <c r="AC55" s="601"/>
      <c r="AD55" s="601"/>
      <c r="AE55" s="601"/>
      <c r="AF55" s="601"/>
      <c r="AG55" s="601"/>
      <c r="AH55" s="601"/>
      <c r="AI55" s="601"/>
      <c r="AJ55" s="601"/>
      <c r="AK55" s="601"/>
      <c r="AL55" s="601"/>
      <c r="AM55" s="601"/>
      <c r="AN55" s="601"/>
    </row>
    <row r="56" spans="1:46" ht="15" customHeight="1">
      <c r="A56" s="601"/>
      <c r="B56" s="615" t="s">
        <v>385</v>
      </c>
      <c r="C56" s="601"/>
      <c r="D56" s="601"/>
      <c r="E56" s="601"/>
      <c r="F56" s="601"/>
      <c r="G56" s="601"/>
      <c r="H56" s="601"/>
      <c r="I56" s="601"/>
      <c r="J56" s="601"/>
      <c r="K56" s="601"/>
      <c r="L56" s="601"/>
      <c r="M56" s="601"/>
      <c r="N56" s="601"/>
      <c r="O56" s="601"/>
      <c r="P56" s="601"/>
      <c r="Q56" s="601"/>
      <c r="R56" s="601"/>
      <c r="S56" s="601"/>
      <c r="T56" s="601"/>
      <c r="U56" s="601"/>
      <c r="V56" s="601"/>
      <c r="W56" s="601"/>
      <c r="X56" s="601"/>
      <c r="Y56" s="601"/>
      <c r="Z56" s="601"/>
      <c r="AA56" s="601"/>
      <c r="AB56" s="601"/>
      <c r="AC56" s="601"/>
      <c r="AD56" s="601"/>
      <c r="AE56" s="601"/>
      <c r="AF56" s="601"/>
      <c r="AG56" s="601"/>
      <c r="AH56" s="601"/>
      <c r="AI56" s="601"/>
      <c r="AJ56" s="601"/>
      <c r="AK56" s="601"/>
      <c r="AL56" s="601"/>
      <c r="AM56" s="601"/>
      <c r="AN56" s="601"/>
      <c r="AT56"/>
    </row>
    <row r="57" spans="1:46" ht="15" customHeight="1">
      <c r="B57" s="1139" t="s">
        <v>359</v>
      </c>
      <c r="C57" s="1139"/>
      <c r="D57" s="1139"/>
      <c r="E57" s="1139"/>
      <c r="F57" s="1139"/>
      <c r="G57" s="1139"/>
      <c r="H57" s="1139"/>
      <c r="I57" s="1139"/>
      <c r="J57" s="1139"/>
      <c r="K57" s="1139"/>
      <c r="Y57" s="1234" t="s">
        <v>387</v>
      </c>
      <c r="Z57" s="1234"/>
      <c r="AA57" s="1234"/>
      <c r="AB57" s="1234"/>
      <c r="AC57" s="1234"/>
      <c r="AD57" s="1234"/>
      <c r="AE57" s="1234"/>
      <c r="AF57" s="1234"/>
      <c r="AG57" s="1234"/>
      <c r="AH57" s="1234"/>
      <c r="AI57" s="1234"/>
      <c r="AJ57" s="1234"/>
      <c r="AK57" s="1234"/>
      <c r="AL57" s="1234"/>
      <c r="AM57" s="508" t="s">
        <v>352</v>
      </c>
    </row>
    <row r="58" spans="1:46" ht="15" customHeight="1">
      <c r="B58" s="1139"/>
      <c r="C58" s="1139"/>
      <c r="D58" s="1139"/>
      <c r="E58" s="1139"/>
      <c r="F58" s="1139"/>
      <c r="G58" s="1139"/>
      <c r="H58" s="1139"/>
      <c r="I58" s="1139"/>
      <c r="J58" s="1139"/>
      <c r="K58" s="1139"/>
      <c r="Y58" s="1234"/>
      <c r="Z58" s="1234"/>
      <c r="AA58" s="1234"/>
      <c r="AB58" s="1234"/>
      <c r="AC58" s="1234"/>
      <c r="AD58" s="1234"/>
      <c r="AE58" s="1234"/>
      <c r="AF58" s="1234"/>
      <c r="AG58" s="1234"/>
      <c r="AH58" s="1234"/>
      <c r="AI58" s="1234"/>
      <c r="AJ58" s="1234"/>
      <c r="AK58" s="1234"/>
      <c r="AL58" s="1234"/>
    </row>
    <row r="59" spans="1:46" ht="15" customHeight="1"/>
    <row r="60" spans="1:46" ht="15" customHeight="1"/>
    <row r="61" spans="1:46" ht="15" customHeight="1"/>
    <row r="62" spans="1:46" ht="15" customHeight="1"/>
    <row r="63" spans="1:46" ht="15" customHeight="1"/>
    <row r="64" spans="1:46" ht="15" customHeight="1"/>
    <row r="71" spans="2:30">
      <c r="B71" s="598" t="s">
        <v>365</v>
      </c>
    </row>
    <row r="72" spans="2:30" ht="15.75" customHeight="1">
      <c r="B72" s="1242" t="s">
        <v>363</v>
      </c>
      <c r="C72" s="1242"/>
      <c r="D72" s="1242"/>
      <c r="E72" s="1242"/>
      <c r="F72" s="600" t="s">
        <v>451</v>
      </c>
      <c r="G72" s="550"/>
      <c r="H72" s="550"/>
      <c r="I72" s="550"/>
    </row>
    <row r="73" spans="2:30" ht="15" customHeight="1">
      <c r="B73" s="1243" t="s">
        <v>364</v>
      </c>
      <c r="C73" s="1243"/>
      <c r="D73" s="1243"/>
      <c r="E73" s="1243"/>
      <c r="F73" s="600" t="s">
        <v>382</v>
      </c>
      <c r="G73" s="598"/>
      <c r="H73" s="598"/>
      <c r="I73" s="598"/>
      <c r="J73" s="598"/>
      <c r="K73" s="598"/>
      <c r="L73" s="598"/>
      <c r="M73" s="598"/>
      <c r="N73" s="598"/>
      <c r="O73" s="598"/>
      <c r="P73" s="598"/>
      <c r="Q73" s="598"/>
      <c r="R73" s="599"/>
      <c r="S73" s="599"/>
      <c r="T73" s="599"/>
      <c r="U73" s="599"/>
      <c r="V73" s="599"/>
      <c r="W73" s="599"/>
      <c r="X73" s="599"/>
      <c r="Y73" s="599"/>
      <c r="Z73" s="599"/>
      <c r="AA73" s="599"/>
    </row>
    <row r="74" spans="2:30" ht="13.5" customHeight="1">
      <c r="F74" s="600" t="s">
        <v>383</v>
      </c>
      <c r="G74" s="600"/>
      <c r="H74" s="600"/>
      <c r="I74" s="600"/>
      <c r="J74" s="600"/>
      <c r="K74" s="600"/>
      <c r="L74" s="600"/>
      <c r="M74" s="600"/>
      <c r="N74" s="600"/>
      <c r="O74" s="600"/>
      <c r="P74" s="600"/>
      <c r="Q74" s="600"/>
      <c r="R74" s="600"/>
      <c r="S74" s="600"/>
      <c r="T74" s="600"/>
      <c r="U74" s="600"/>
      <c r="V74" s="600"/>
      <c r="W74" s="600"/>
      <c r="X74" s="600"/>
      <c r="Y74" s="600"/>
      <c r="Z74" s="600"/>
      <c r="AA74" s="510"/>
      <c r="AB74" s="510"/>
      <c r="AC74" s="510"/>
      <c r="AD74" s="510"/>
    </row>
    <row r="75" spans="2:30" ht="13.5" customHeight="1">
      <c r="B75" s="1232" t="s">
        <v>24</v>
      </c>
      <c r="C75" s="1232"/>
      <c r="D75" s="1232"/>
      <c r="E75" s="1232"/>
      <c r="F75" s="600" t="s">
        <v>362</v>
      </c>
      <c r="G75" s="600"/>
      <c r="H75" s="600"/>
      <c r="I75" s="600"/>
      <c r="J75" s="600"/>
      <c r="K75" s="600"/>
      <c r="L75" s="600"/>
      <c r="M75" s="600"/>
      <c r="N75" s="600"/>
      <c r="O75" s="600"/>
      <c r="P75" s="600"/>
      <c r="Q75" s="600"/>
      <c r="R75" s="600"/>
      <c r="S75" s="600"/>
      <c r="T75" s="600"/>
      <c r="U75" s="600"/>
      <c r="V75" s="600"/>
      <c r="W75" s="600"/>
      <c r="X75" s="600"/>
      <c r="Y75" s="600"/>
      <c r="Z75" s="600"/>
      <c r="AA75" s="510"/>
      <c r="AB75" s="510"/>
      <c r="AC75" s="510"/>
      <c r="AD75" s="510"/>
    </row>
    <row r="76" spans="2:30">
      <c r="B76" s="598" t="s">
        <v>446</v>
      </c>
      <c r="C76" s="614"/>
      <c r="D76" s="614"/>
      <c r="E76" s="614"/>
      <c r="G76" s="600"/>
      <c r="H76" s="600"/>
      <c r="I76" s="600"/>
      <c r="J76" s="600"/>
      <c r="K76" s="600"/>
      <c r="L76" s="600"/>
      <c r="M76" s="600"/>
      <c r="N76" s="600"/>
      <c r="O76" s="600"/>
      <c r="P76" s="600"/>
      <c r="Q76" s="600"/>
      <c r="R76" s="600"/>
      <c r="S76" s="600"/>
      <c r="T76" s="600"/>
      <c r="U76" s="600"/>
      <c r="V76" s="600"/>
      <c r="W76" s="600"/>
      <c r="X76" s="600"/>
      <c r="Y76" s="600"/>
      <c r="Z76" s="600"/>
      <c r="AA76" s="510"/>
      <c r="AB76" s="510"/>
      <c r="AC76" s="510"/>
      <c r="AD76" s="510"/>
    </row>
    <row r="77" spans="2:30">
      <c r="B77" s="600" t="s">
        <v>447</v>
      </c>
      <c r="C77" s="683"/>
      <c r="D77" s="683"/>
      <c r="E77" s="683"/>
      <c r="G77" s="600"/>
      <c r="H77" s="600"/>
      <c r="I77" s="600"/>
      <c r="J77" s="600"/>
      <c r="K77" s="600"/>
      <c r="L77" s="600"/>
      <c r="M77" s="600"/>
      <c r="N77" s="600"/>
      <c r="O77" s="600"/>
      <c r="P77" s="600"/>
      <c r="Q77" s="600"/>
      <c r="R77" s="600"/>
      <c r="S77" s="600"/>
      <c r="T77" s="600"/>
      <c r="U77" s="600"/>
      <c r="V77" s="600"/>
      <c r="W77" s="600"/>
      <c r="X77" s="600"/>
      <c r="Y77" s="600"/>
      <c r="Z77" s="600"/>
      <c r="AA77" s="510"/>
      <c r="AB77" s="510"/>
      <c r="AC77" s="510"/>
      <c r="AD77" s="510"/>
    </row>
    <row r="78" spans="2:30">
      <c r="B78" s="600" t="s">
        <v>448</v>
      </c>
      <c r="G78" s="600"/>
      <c r="H78" s="600"/>
      <c r="I78" s="600"/>
      <c r="J78" s="600"/>
      <c r="K78" s="600"/>
      <c r="L78" s="600"/>
      <c r="M78" s="600"/>
      <c r="N78" s="600"/>
      <c r="O78" s="600"/>
      <c r="P78" s="600"/>
      <c r="Q78" s="600"/>
      <c r="R78" s="600"/>
      <c r="S78" s="600"/>
      <c r="T78" s="600"/>
      <c r="U78" s="600"/>
      <c r="V78" s="600"/>
      <c r="W78" s="600"/>
      <c r="X78" s="600"/>
      <c r="Y78" s="600"/>
      <c r="Z78" s="600"/>
      <c r="AA78" s="510"/>
      <c r="AB78" s="510"/>
      <c r="AC78" s="510"/>
      <c r="AD78" s="510"/>
    </row>
    <row r="79" spans="2:30">
      <c r="B79" s="600" t="s">
        <v>449</v>
      </c>
      <c r="C79" s="683"/>
      <c r="D79" s="683"/>
      <c r="E79" s="683"/>
      <c r="G79" s="600"/>
      <c r="H79" s="600"/>
      <c r="I79" s="600"/>
      <c r="J79" s="600"/>
      <c r="K79" s="600"/>
      <c r="L79" s="600"/>
      <c r="M79" s="600"/>
      <c r="N79" s="600"/>
      <c r="O79" s="600"/>
      <c r="P79" s="600"/>
      <c r="Q79" s="600"/>
      <c r="R79" s="600"/>
      <c r="S79" s="600"/>
      <c r="T79" s="600"/>
      <c r="U79" s="600"/>
      <c r="V79" s="600"/>
      <c r="W79" s="600"/>
      <c r="X79" s="600"/>
      <c r="Y79" s="600"/>
      <c r="Z79" s="600"/>
      <c r="AA79" s="510"/>
      <c r="AB79" s="510"/>
      <c r="AC79" s="510"/>
      <c r="AD79" s="510"/>
    </row>
    <row r="105" spans="10:54">
      <c r="BB105" s="572"/>
    </row>
    <row r="111" spans="10:54" ht="11.25" customHeight="1"/>
    <row r="112" spans="10:54" ht="24" customHeight="1">
      <c r="J112" s="548" t="s">
        <v>319</v>
      </c>
    </row>
    <row r="113" spans="1:40" ht="15" customHeight="1">
      <c r="J113" s="508" t="s">
        <v>320</v>
      </c>
    </row>
    <row r="114" spans="1:40" ht="15" customHeight="1">
      <c r="J114" s="508" t="s">
        <v>321</v>
      </c>
    </row>
    <row r="115" spans="1:40" ht="18" customHeight="1">
      <c r="J115" s="508" t="s">
        <v>325</v>
      </c>
    </row>
    <row r="116" spans="1:40">
      <c r="J116" s="508" t="s">
        <v>326</v>
      </c>
    </row>
    <row r="117" spans="1:40" ht="15.75" customHeight="1">
      <c r="A117" s="1138" t="s">
        <v>318</v>
      </c>
      <c r="B117" s="1138"/>
      <c r="C117" s="1138"/>
      <c r="D117" s="1138"/>
      <c r="E117" s="1138"/>
      <c r="F117" s="1138"/>
      <c r="G117" s="1138"/>
      <c r="H117" s="1138"/>
      <c r="I117" s="1138"/>
      <c r="J117" s="1138"/>
      <c r="K117" s="1138"/>
      <c r="L117" s="1138"/>
      <c r="M117" s="1138"/>
      <c r="N117" s="1138"/>
      <c r="O117" s="1138"/>
      <c r="P117" s="1138"/>
      <c r="Q117" s="1138"/>
      <c r="R117" s="1138"/>
      <c r="S117" s="1138"/>
      <c r="T117" s="1138"/>
      <c r="U117" s="1138"/>
      <c r="V117" s="1138"/>
      <c r="W117" s="1138"/>
      <c r="X117" s="1138"/>
      <c r="Y117" s="1138"/>
      <c r="Z117" s="1138"/>
      <c r="AA117" s="1138"/>
      <c r="AB117" s="1138"/>
      <c r="AC117" s="1138"/>
      <c r="AD117" s="1138"/>
      <c r="AE117" s="1138"/>
      <c r="AF117" s="1138"/>
      <c r="AG117" s="1138"/>
      <c r="AH117" s="1138"/>
      <c r="AI117" s="1138"/>
      <c r="AJ117" s="1138"/>
      <c r="AK117" s="1138"/>
      <c r="AL117" s="1138"/>
      <c r="AM117" s="1138"/>
      <c r="AN117" s="1138"/>
    </row>
  </sheetData>
  <sheetProtection selectLockedCells="1"/>
  <protectedRanges>
    <protectedRange sqref="Z6:AC9" name="範囲2"/>
    <protectedRange sqref="Q6:T9" name="範囲1"/>
  </protectedRanges>
  <mergeCells count="179">
    <mergeCell ref="B75:E75"/>
    <mergeCell ref="C39:R39"/>
    <mergeCell ref="I40:J40"/>
    <mergeCell ref="Y57:AL58"/>
    <mergeCell ref="AE38:AH38"/>
    <mergeCell ref="W38:AB38"/>
    <mergeCell ref="T46:AL46"/>
    <mergeCell ref="AE40:AH40"/>
    <mergeCell ref="T40:V40"/>
    <mergeCell ref="AE43:AH43"/>
    <mergeCell ref="AE44:AH44"/>
    <mergeCell ref="W39:AB39"/>
    <mergeCell ref="AE39:AH39"/>
    <mergeCell ref="T44:V44"/>
    <mergeCell ref="AC43:AD43"/>
    <mergeCell ref="AC44:AD44"/>
    <mergeCell ref="Q50:R50"/>
    <mergeCell ref="B72:E72"/>
    <mergeCell ref="B73:E73"/>
    <mergeCell ref="AM12:AM13"/>
    <mergeCell ref="AI14:AL15"/>
    <mergeCell ref="AM14:AM15"/>
    <mergeCell ref="Q26:T27"/>
    <mergeCell ref="M20:P21"/>
    <mergeCell ref="Q20:T21"/>
    <mergeCell ref="U20:U21"/>
    <mergeCell ref="C18:J21"/>
    <mergeCell ref="AC41:AD41"/>
    <mergeCell ref="W41:AB41"/>
    <mergeCell ref="W40:AB40"/>
    <mergeCell ref="AC40:AD40"/>
    <mergeCell ref="AC36:AD36"/>
    <mergeCell ref="AE36:AH36"/>
    <mergeCell ref="AE37:AH37"/>
    <mergeCell ref="Z20:AC21"/>
    <mergeCell ref="M24:P25"/>
    <mergeCell ref="A23:D23"/>
    <mergeCell ref="A24:B27"/>
    <mergeCell ref="A18:B21"/>
    <mergeCell ref="F37:K37"/>
    <mergeCell ref="T37:V37"/>
    <mergeCell ref="T35:V35"/>
    <mergeCell ref="T36:V36"/>
    <mergeCell ref="C37:E37"/>
    <mergeCell ref="T45:AL45"/>
    <mergeCell ref="AF48:AK50"/>
    <mergeCell ref="Z48:AB50"/>
    <mergeCell ref="AL48:AL50"/>
    <mergeCell ref="AC48:AE50"/>
    <mergeCell ref="W35:AB35"/>
    <mergeCell ref="W36:AB36"/>
    <mergeCell ref="T42:V42"/>
    <mergeCell ref="A49:H49"/>
    <mergeCell ref="P48:R49"/>
    <mergeCell ref="C42:L42"/>
    <mergeCell ref="A48:M48"/>
    <mergeCell ref="T41:V41"/>
    <mergeCell ref="C45:R45"/>
    <mergeCell ref="C43:H44"/>
    <mergeCell ref="K38:L38"/>
    <mergeCell ref="I43:L44"/>
    <mergeCell ref="W37:AB37"/>
    <mergeCell ref="M38:N38"/>
    <mergeCell ref="T39:V39"/>
    <mergeCell ref="K18:L21"/>
    <mergeCell ref="U12:U13"/>
    <mergeCell ref="AL1:AN1"/>
    <mergeCell ref="AG1:AK1"/>
    <mergeCell ref="AM6:AM7"/>
    <mergeCell ref="A1:Y1"/>
    <mergeCell ref="AE8:AH9"/>
    <mergeCell ref="AI8:AL9"/>
    <mergeCell ref="AM8:AM9"/>
    <mergeCell ref="AI6:AL7"/>
    <mergeCell ref="Z8:AC9"/>
    <mergeCell ref="A6:B9"/>
    <mergeCell ref="M6:P7"/>
    <mergeCell ref="U8:U9"/>
    <mergeCell ref="Z6:AC7"/>
    <mergeCell ref="J3:S3"/>
    <mergeCell ref="A5:D5"/>
    <mergeCell ref="A2:X2"/>
    <mergeCell ref="K6:L9"/>
    <mergeCell ref="C6:J9"/>
    <mergeCell ref="V8:Y9"/>
    <mergeCell ref="V6:Y7"/>
    <mergeCell ref="M8:P9"/>
    <mergeCell ref="Q8:T9"/>
    <mergeCell ref="U6:U7"/>
    <mergeCell ref="Q14:T15"/>
    <mergeCell ref="U14:U15"/>
    <mergeCell ref="M14:P15"/>
    <mergeCell ref="A12:B15"/>
    <mergeCell ref="K12:L15"/>
    <mergeCell ref="M12:P13"/>
    <mergeCell ref="Q12:T13"/>
    <mergeCell ref="C12:J15"/>
    <mergeCell ref="Q6:T7"/>
    <mergeCell ref="F30:N32"/>
    <mergeCell ref="Z24:AC25"/>
    <mergeCell ref="O30:P32"/>
    <mergeCell ref="V18:Y19"/>
    <mergeCell ref="F36:K36"/>
    <mergeCell ref="Y30:AA32"/>
    <mergeCell ref="Q30:S32"/>
    <mergeCell ref="V20:Y21"/>
    <mergeCell ref="A11:D11"/>
    <mergeCell ref="A17:D17"/>
    <mergeCell ref="V12:Y13"/>
    <mergeCell ref="A30:E31"/>
    <mergeCell ref="C24:J27"/>
    <mergeCell ref="K24:L27"/>
    <mergeCell ref="M26:P27"/>
    <mergeCell ref="C34:E34"/>
    <mergeCell ref="C35:E35"/>
    <mergeCell ref="C36:E36"/>
    <mergeCell ref="F34:K34"/>
    <mergeCell ref="F35:K35"/>
    <mergeCell ref="V14:Y15"/>
    <mergeCell ref="U18:U19"/>
    <mergeCell ref="Q18:T19"/>
    <mergeCell ref="M18:P19"/>
    <mergeCell ref="AE12:AH13"/>
    <mergeCell ref="AE6:AH7"/>
    <mergeCell ref="AD6:AD7"/>
    <mergeCell ref="AD8:AD9"/>
    <mergeCell ref="AD18:AD19"/>
    <mergeCell ref="AD12:AD13"/>
    <mergeCell ref="AI12:AL13"/>
    <mergeCell ref="Z12:AC13"/>
    <mergeCell ref="Z18:AC19"/>
    <mergeCell ref="AD14:AD15"/>
    <mergeCell ref="AE14:AH15"/>
    <mergeCell ref="AI18:AL19"/>
    <mergeCell ref="AE18:AH19"/>
    <mergeCell ref="Z14:AC15"/>
    <mergeCell ref="A117:AN117"/>
    <mergeCell ref="V24:Y25"/>
    <mergeCell ref="AI20:AL21"/>
    <mergeCell ref="AD20:AD21"/>
    <mergeCell ref="AE20:AH21"/>
    <mergeCell ref="B57:K58"/>
    <mergeCell ref="AE35:AH35"/>
    <mergeCell ref="W42:AB42"/>
    <mergeCell ref="W43:AB43"/>
    <mergeCell ref="T43:V43"/>
    <mergeCell ref="AC35:AD35"/>
    <mergeCell ref="AC37:AD37"/>
    <mergeCell ref="I49:M49"/>
    <mergeCell ref="Y48:Y50"/>
    <mergeCell ref="AC38:AD38"/>
    <mergeCell ref="AC39:AD39"/>
    <mergeCell ref="C38:J38"/>
    <mergeCell ref="AC42:AD42"/>
    <mergeCell ref="S48:X50"/>
    <mergeCell ref="W44:AB44"/>
    <mergeCell ref="AE41:AH41"/>
    <mergeCell ref="AE42:AH42"/>
    <mergeCell ref="T38:V38"/>
    <mergeCell ref="AI24:AL25"/>
    <mergeCell ref="AM18:AM19"/>
    <mergeCell ref="Q24:T25"/>
    <mergeCell ref="U24:U25"/>
    <mergeCell ref="AB30:AG32"/>
    <mergeCell ref="AM24:AM25"/>
    <mergeCell ref="AE26:AH27"/>
    <mergeCell ref="AI26:AL27"/>
    <mergeCell ref="AM26:AM27"/>
    <mergeCell ref="AE34:AH34"/>
    <mergeCell ref="T34:AD34"/>
    <mergeCell ref="AM20:AM21"/>
    <mergeCell ref="AD24:AD25"/>
    <mergeCell ref="AE24:AH25"/>
    <mergeCell ref="AH30:AI32"/>
    <mergeCell ref="U26:U27"/>
    <mergeCell ref="V26:Y27"/>
    <mergeCell ref="AD26:AD27"/>
    <mergeCell ref="Z26:AC27"/>
    <mergeCell ref="T30:X32"/>
  </mergeCells>
  <phoneticPr fontId="134"/>
  <pageMargins left="0.23622047244094491" right="0.23622047244094491" top="0.35433070866141736" bottom="0.35433070866141736" header="0.31496062992125984" footer="0.31496062992125984"/>
  <pageSetup paperSize="9" orientation="portrait" r:id="rId1"/>
  <rowBreaks count="1" manualBreakCount="1">
    <brk id="56" max="39" man="1"/>
  </rowBreaks>
  <drawing r:id="rId2"/>
  <legacyDrawing r:id="rId3"/>
  <oleObjects>
    <mc:AlternateContent xmlns:mc="http://schemas.openxmlformats.org/markup-compatibility/2006">
      <mc:Choice Requires="x14">
        <oleObject progId="Word.Document.8" shapeId="28023" r:id="rId4">
          <objectPr defaultSize="0" autoPict="0" r:id="rId5">
            <anchor moveWithCells="1">
              <from>
                <xdr:col>0</xdr:col>
                <xdr:colOff>0</xdr:colOff>
                <xdr:row>57</xdr:row>
                <xdr:rowOff>171450</xdr:rowOff>
              </from>
              <to>
                <xdr:col>39</xdr:col>
                <xdr:colOff>152400</xdr:colOff>
                <xdr:row>69</xdr:row>
                <xdr:rowOff>161925</xdr:rowOff>
              </to>
            </anchor>
          </objectPr>
        </oleObject>
      </mc:Choice>
      <mc:Fallback>
        <oleObject progId="Word.Document.8" shapeId="28023" r:id="rId4"/>
      </mc:Fallback>
    </mc:AlternateContent>
    <mc:AlternateContent xmlns:mc="http://schemas.openxmlformats.org/markup-compatibility/2006">
      <mc:Choice Requires="x14">
        <oleObject progId="Word.Document.8" shapeId="28034" r:id="rId6">
          <objectPr defaultSize="0" r:id="rId7">
            <anchor moveWithCells="1">
              <from>
                <xdr:col>0</xdr:col>
                <xdr:colOff>38100</xdr:colOff>
                <xdr:row>79</xdr:row>
                <xdr:rowOff>57150</xdr:rowOff>
              </from>
              <to>
                <xdr:col>39</xdr:col>
                <xdr:colOff>114300</xdr:colOff>
                <xdr:row>114</xdr:row>
                <xdr:rowOff>114300</xdr:rowOff>
              </to>
            </anchor>
          </objectPr>
        </oleObject>
      </mc:Choice>
      <mc:Fallback>
        <oleObject progId="Word.Document.8" shapeId="2803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0"/>
  <sheetViews>
    <sheetView zoomScale="90" zoomScaleNormal="90" workbookViewId="0">
      <selection activeCell="F46" sqref="F46:K46"/>
    </sheetView>
  </sheetViews>
  <sheetFormatPr defaultRowHeight="14.25"/>
  <cols>
    <col min="1" max="1" width="13.625" style="588" customWidth="1"/>
    <col min="2" max="2" width="13.25" hidden="1" customWidth="1"/>
    <col min="3" max="6" width="13.625" customWidth="1"/>
    <col min="7" max="7" width="4.5" customWidth="1"/>
    <col min="8" max="12" width="16.625" customWidth="1"/>
    <col min="13" max="13" width="10.25" customWidth="1"/>
    <col min="14" max="14" width="6.875" customWidth="1"/>
  </cols>
  <sheetData>
    <row r="1" spans="1:14">
      <c r="B1" s="554"/>
      <c r="C1" s="554"/>
      <c r="D1" s="555"/>
      <c r="E1" s="555"/>
      <c r="F1" s="555"/>
      <c r="G1" s="554"/>
      <c r="H1" s="554"/>
      <c r="I1" s="554"/>
      <c r="J1" s="554"/>
      <c r="K1" s="554"/>
      <c r="L1" s="554"/>
      <c r="M1" s="554"/>
      <c r="N1" s="554"/>
    </row>
    <row r="2" spans="1:14" ht="37.5" customHeight="1">
      <c r="A2" s="592" t="s">
        <v>356</v>
      </c>
      <c r="B2" s="556" t="s">
        <v>329</v>
      </c>
      <c r="C2" s="556"/>
      <c r="D2" s="557"/>
      <c r="E2" s="557"/>
      <c r="F2" s="557"/>
      <c r="G2" s="556"/>
      <c r="H2" s="556" t="s">
        <v>330</v>
      </c>
      <c r="I2" s="556"/>
      <c r="J2" s="556"/>
      <c r="K2" s="556"/>
      <c r="L2" s="556"/>
      <c r="M2" s="556"/>
      <c r="N2" s="556"/>
    </row>
    <row r="3" spans="1:14" ht="45" customHeight="1" thickBot="1">
      <c r="A3" s="589" t="s">
        <v>354</v>
      </c>
      <c r="B3" s="558" t="s">
        <v>354</v>
      </c>
      <c r="C3" s="558" t="s">
        <v>355</v>
      </c>
      <c r="D3" s="559" t="s">
        <v>331</v>
      </c>
      <c r="E3" s="559" t="s">
        <v>332</v>
      </c>
      <c r="F3" s="559" t="s">
        <v>333</v>
      </c>
      <c r="G3" s="556"/>
      <c r="H3" s="560" t="s">
        <v>334</v>
      </c>
      <c r="I3" s="561" t="s">
        <v>335</v>
      </c>
      <c r="J3" s="563" t="s">
        <v>336</v>
      </c>
      <c r="K3" s="563" t="s">
        <v>337</v>
      </c>
      <c r="L3" s="563" t="s">
        <v>338</v>
      </c>
      <c r="M3" s="556"/>
      <c r="N3" s="556"/>
    </row>
    <row r="4" spans="1:14" ht="18" customHeight="1" thickBot="1">
      <c r="A4" s="1244">
        <v>1</v>
      </c>
      <c r="B4" s="593">
        <v>1</v>
      </c>
      <c r="C4" s="594">
        <f>D182</f>
        <v>0</v>
      </c>
      <c r="D4" s="594">
        <f>43+((IF(C4&lt;=1,1,C4))-1)*10</f>
        <v>43</v>
      </c>
      <c r="E4" s="594">
        <f>43+N11*B4+((IF(C4&lt;=1,1,C4))-1)*10</f>
        <v>74</v>
      </c>
      <c r="F4" s="594">
        <f>43+N12*B4+((IF(C4&lt;=1,1,C4))-1)*10</f>
        <v>100</v>
      </c>
      <c r="G4" s="556"/>
      <c r="H4" s="562"/>
      <c r="I4" s="562"/>
      <c r="J4" s="591">
        <f>43+((IF(I4&lt;=1,1,I4))-1)*10</f>
        <v>43</v>
      </c>
      <c r="K4" s="590">
        <f>43+31*H4+((IF(I4&lt;=1,1,I4))-1)*10</f>
        <v>43</v>
      </c>
      <c r="L4" s="590">
        <f>43+57*H4+((IF(I4&lt;=1,1,I4))-1)*10</f>
        <v>43</v>
      </c>
      <c r="M4" s="556"/>
      <c r="N4" s="556"/>
    </row>
    <row r="5" spans="1:14" ht="18" customHeight="1">
      <c r="A5" s="1244"/>
      <c r="B5" s="595">
        <v>1</v>
      </c>
      <c r="C5" s="594">
        <v>1</v>
      </c>
      <c r="D5" s="594">
        <f t="shared" ref="D5:D17" si="0">43+((IF(C5&lt;=1,1,C5))-1)*10</f>
        <v>43</v>
      </c>
      <c r="E5" s="594">
        <f>43+N11*B5+((IF(C5&lt;=1,1,C5))-1)*10</f>
        <v>74</v>
      </c>
      <c r="F5" s="594">
        <f>43+N12*B5+((IF(C5&lt;=1,1,C5))-1)*10</f>
        <v>100</v>
      </c>
      <c r="G5" s="556"/>
      <c r="H5" s="573" t="s">
        <v>357</v>
      </c>
      <c r="I5" s="574"/>
      <c r="J5" s="574"/>
      <c r="K5" s="574"/>
      <c r="L5" s="556"/>
      <c r="M5" s="556"/>
      <c r="N5" s="556"/>
    </row>
    <row r="6" spans="1:14" ht="18" customHeight="1">
      <c r="A6" s="1244">
        <v>2</v>
      </c>
      <c r="B6" s="593">
        <v>2</v>
      </c>
      <c r="C6" s="594">
        <v>0</v>
      </c>
      <c r="D6" s="594">
        <f t="shared" si="0"/>
        <v>43</v>
      </c>
      <c r="E6" s="594">
        <f>43+N11*B6+((IF(C6&lt;=1,1,C6))-1)*10</f>
        <v>105</v>
      </c>
      <c r="F6" s="594">
        <f>43+N12*B6+((IF(C6&lt;=1,1,C6))-1)*10</f>
        <v>157</v>
      </c>
      <c r="G6" s="556"/>
      <c r="H6" s="556" t="s">
        <v>339</v>
      </c>
      <c r="I6" s="556"/>
      <c r="J6" s="556"/>
      <c r="K6" s="556"/>
      <c r="L6" s="556"/>
      <c r="M6" s="556"/>
      <c r="N6" s="556"/>
    </row>
    <row r="7" spans="1:14" ht="18" customHeight="1">
      <c r="A7" s="1244"/>
      <c r="B7" s="596">
        <v>2</v>
      </c>
      <c r="C7" s="594">
        <v>1</v>
      </c>
      <c r="D7" s="594">
        <f t="shared" si="0"/>
        <v>43</v>
      </c>
      <c r="E7" s="594">
        <f>43+N11*B7+((IF(C7&lt;=1,1,C7))-1)*10</f>
        <v>105</v>
      </c>
      <c r="F7" s="594">
        <f>43+N12*B7+((IF(C7&lt;=1,1,C7))-1)*10</f>
        <v>157</v>
      </c>
      <c r="G7" s="556"/>
      <c r="H7" s="1245" t="s">
        <v>358</v>
      </c>
      <c r="I7" s="1245"/>
      <c r="J7" s="1245"/>
      <c r="K7" s="1245"/>
      <c r="L7" s="1245"/>
      <c r="M7" s="1245"/>
      <c r="N7" s="556"/>
    </row>
    <row r="8" spans="1:14" ht="18" customHeight="1">
      <c r="A8" s="1244"/>
      <c r="B8" s="595">
        <v>2</v>
      </c>
      <c r="C8" s="594">
        <v>2</v>
      </c>
      <c r="D8" s="594">
        <f t="shared" si="0"/>
        <v>53</v>
      </c>
      <c r="E8" s="594">
        <f>43+N11*B8+((IF(C8&lt;=1,1,C8))-1)*10</f>
        <v>115</v>
      </c>
      <c r="F8" s="594">
        <f>43+N12*B8+((IF(C8&lt;=1,1,C8))-1)*10</f>
        <v>167</v>
      </c>
      <c r="G8" s="556"/>
      <c r="H8" s="1245"/>
      <c r="I8" s="1245"/>
      <c r="J8" s="1245"/>
      <c r="K8" s="1245"/>
      <c r="L8" s="1245"/>
      <c r="M8" s="1245"/>
      <c r="N8" s="556"/>
    </row>
    <row r="9" spans="1:14" ht="18" customHeight="1" thickBot="1">
      <c r="A9" s="1244">
        <v>3</v>
      </c>
      <c r="B9" s="597">
        <v>3</v>
      </c>
      <c r="C9" s="594">
        <v>0</v>
      </c>
      <c r="D9" s="594">
        <f t="shared" si="0"/>
        <v>43</v>
      </c>
      <c r="E9" s="594">
        <f>43+N11*B9+((IF(C9&lt;=1,1,C9))-1)*10</f>
        <v>136</v>
      </c>
      <c r="F9" s="594">
        <f>43+N12*B9+((IF(C9&lt;=1,1,C9))-1)*10</f>
        <v>214</v>
      </c>
      <c r="G9" s="556"/>
      <c r="H9" s="1246"/>
      <c r="I9" s="1246"/>
      <c r="J9" s="1246"/>
      <c r="K9" s="1246"/>
      <c r="L9" s="1246"/>
      <c r="M9" s="1246"/>
      <c r="N9" s="556"/>
    </row>
    <row r="10" spans="1:14" ht="18" customHeight="1">
      <c r="A10" s="1244"/>
      <c r="B10" s="597">
        <v>3</v>
      </c>
      <c r="C10" s="594">
        <v>1</v>
      </c>
      <c r="D10" s="594">
        <f t="shared" si="0"/>
        <v>43</v>
      </c>
      <c r="E10" s="594">
        <f>43+N11*B10+((IF(C10&lt;=1,1,C10))-1)*10</f>
        <v>136</v>
      </c>
      <c r="F10" s="594">
        <f>43+N12*B10+((IF(C10&lt;=1,1,C10))-1)*10</f>
        <v>214</v>
      </c>
      <c r="G10" s="556"/>
      <c r="H10" s="564" t="s">
        <v>388</v>
      </c>
      <c r="I10" s="565"/>
      <c r="J10" s="565"/>
      <c r="K10" s="565"/>
      <c r="L10" s="565"/>
      <c r="M10" s="566"/>
      <c r="N10" s="556"/>
    </row>
    <row r="11" spans="1:14" ht="18" customHeight="1">
      <c r="A11" s="1244"/>
      <c r="B11" s="597">
        <v>3</v>
      </c>
      <c r="C11" s="594">
        <v>2</v>
      </c>
      <c r="D11" s="594">
        <f t="shared" si="0"/>
        <v>53</v>
      </c>
      <c r="E11" s="594">
        <f>43+N11*B11+((IF(C11&lt;=1,1,C11))-1)*10</f>
        <v>146</v>
      </c>
      <c r="F11" s="594">
        <f>43+N12*B11+((IF(C11&lt;=1,1,C11))-1)*10</f>
        <v>224</v>
      </c>
      <c r="G11" s="556"/>
      <c r="H11" s="567" t="s">
        <v>404</v>
      </c>
      <c r="I11" s="554"/>
      <c r="J11" s="554"/>
      <c r="K11" s="554"/>
      <c r="L11" s="554"/>
      <c r="M11" s="568"/>
      <c r="N11" s="616">
        <v>31</v>
      </c>
    </row>
    <row r="12" spans="1:14" ht="18" customHeight="1" thickBot="1">
      <c r="A12" s="1244"/>
      <c r="B12" s="597">
        <v>3</v>
      </c>
      <c r="C12" s="594">
        <v>3</v>
      </c>
      <c r="D12" s="594">
        <f t="shared" si="0"/>
        <v>63</v>
      </c>
      <c r="E12" s="594">
        <f>43+N11*B12+((IF(C12&lt;=1,1,C12))-1)*10</f>
        <v>156</v>
      </c>
      <c r="F12" s="594">
        <f>43+N12*B12+((IF(C12&lt;=1,1,C12))-1)*10</f>
        <v>234</v>
      </c>
      <c r="G12" s="556"/>
      <c r="H12" s="569" t="s">
        <v>405</v>
      </c>
      <c r="I12" s="570"/>
      <c r="J12" s="570"/>
      <c r="K12" s="570"/>
      <c r="L12" s="570"/>
      <c r="M12" s="571"/>
      <c r="N12" s="616">
        <v>57</v>
      </c>
    </row>
    <row r="13" spans="1:14" ht="18" customHeight="1">
      <c r="A13" s="1244">
        <v>4</v>
      </c>
      <c r="B13" s="597">
        <v>4</v>
      </c>
      <c r="C13" s="594">
        <v>0</v>
      </c>
      <c r="D13" s="594">
        <f t="shared" si="0"/>
        <v>43</v>
      </c>
      <c r="E13" s="594">
        <f>43+N11*B13+((IF(C13&lt;=1,1,C13))-1)*10</f>
        <v>167</v>
      </c>
      <c r="F13" s="594">
        <f>43+N12*B13+((IF(C13&lt;=1,1,C13))-1)*10</f>
        <v>271</v>
      </c>
      <c r="G13" s="556"/>
      <c r="H13" s="556"/>
      <c r="I13" s="556"/>
      <c r="J13" s="556"/>
      <c r="K13" s="556"/>
      <c r="L13" s="556"/>
      <c r="M13" s="556"/>
      <c r="N13" s="556"/>
    </row>
    <row r="14" spans="1:14" ht="18" customHeight="1">
      <c r="A14" s="1244"/>
      <c r="B14" s="597">
        <v>4</v>
      </c>
      <c r="C14" s="594">
        <v>1</v>
      </c>
      <c r="D14" s="594">
        <f t="shared" si="0"/>
        <v>43</v>
      </c>
      <c r="E14" s="594">
        <f>43+N11*B14+((IF(C14&lt;=1,1,C14))-1)*10</f>
        <v>167</v>
      </c>
      <c r="F14" s="594">
        <f>43+N12*B14+((IF(C14&lt;=1,1,C14))-1)*10</f>
        <v>271</v>
      </c>
      <c r="G14" s="556"/>
      <c r="H14" s="556"/>
      <c r="I14" s="556"/>
      <c r="J14" s="556"/>
      <c r="K14" s="556"/>
      <c r="L14" s="556"/>
      <c r="M14" s="556"/>
      <c r="N14" s="556"/>
    </row>
    <row r="15" spans="1:14" ht="18" customHeight="1">
      <c r="A15" s="1244"/>
      <c r="B15" s="597">
        <v>4</v>
      </c>
      <c r="C15" s="594">
        <v>2</v>
      </c>
      <c r="D15" s="594">
        <f t="shared" si="0"/>
        <v>53</v>
      </c>
      <c r="E15" s="594">
        <f>43+N11*B15+((IF(C15&lt;=1,1,C15))-1)*10</f>
        <v>177</v>
      </c>
      <c r="F15" s="594">
        <f>43+N12*B15+((IF(C15&lt;=1,1,C15))-1)*10</f>
        <v>281</v>
      </c>
      <c r="G15" s="556"/>
      <c r="H15" s="556"/>
      <c r="I15" s="556"/>
      <c r="J15" s="556"/>
      <c r="K15" s="556"/>
      <c r="L15" s="556"/>
      <c r="M15" s="556"/>
      <c r="N15" s="556"/>
    </row>
    <row r="16" spans="1:14" ht="18" customHeight="1">
      <c r="A16" s="1244"/>
      <c r="B16" s="597">
        <v>4</v>
      </c>
      <c r="C16" s="594">
        <v>3</v>
      </c>
      <c r="D16" s="594">
        <f t="shared" si="0"/>
        <v>63</v>
      </c>
      <c r="E16" s="594">
        <f>43+N11*B16+((IF(C16&lt;=1,1,C16))-1)*10</f>
        <v>187</v>
      </c>
      <c r="F16" s="594">
        <f>43+N12*B16+((IF(C16&lt;=1,1,C16))-1)*10</f>
        <v>291</v>
      </c>
      <c r="G16" s="556"/>
      <c r="H16" s="556"/>
      <c r="I16" s="556"/>
      <c r="J16" s="556"/>
      <c r="K16" s="556"/>
      <c r="L16" s="556"/>
      <c r="M16" s="556"/>
      <c r="N16" s="556"/>
    </row>
    <row r="17" spans="1:14" ht="18" customHeight="1">
      <c r="A17" s="1244"/>
      <c r="B17" s="597">
        <v>4</v>
      </c>
      <c r="C17" s="594">
        <v>4</v>
      </c>
      <c r="D17" s="594">
        <f t="shared" si="0"/>
        <v>73</v>
      </c>
      <c r="E17" s="594">
        <f>43+N11*B17+((IF(C17&lt;=1,1,C17))-1)*10</f>
        <v>197</v>
      </c>
      <c r="F17" s="594">
        <f>43+N12*B17+((IF(C17&lt;=1,1,C17))-1)*10</f>
        <v>301</v>
      </c>
      <c r="G17" s="556"/>
      <c r="H17" s="556"/>
      <c r="I17" s="556"/>
      <c r="J17" s="556"/>
      <c r="K17" s="556"/>
      <c r="L17" s="556"/>
      <c r="M17" s="556"/>
      <c r="N17" s="556"/>
    </row>
    <row r="18" spans="1:14">
      <c r="B18" s="554"/>
      <c r="C18" s="554"/>
      <c r="D18" s="555"/>
      <c r="E18" s="555"/>
      <c r="F18" s="555"/>
      <c r="G18" s="554"/>
      <c r="H18" s="554"/>
      <c r="I18" s="554"/>
      <c r="J18" s="554"/>
      <c r="K18" s="554"/>
      <c r="L18" s="554"/>
      <c r="M18" s="554"/>
      <c r="N18" s="554"/>
    </row>
    <row r="19" spans="1:14">
      <c r="B19" s="554"/>
      <c r="C19" s="554"/>
      <c r="D19" s="555"/>
      <c r="E19" s="555"/>
      <c r="F19" s="555"/>
      <c r="G19" s="554"/>
      <c r="H19" s="554"/>
      <c r="I19" s="554"/>
      <c r="J19" s="554"/>
      <c r="K19" s="554"/>
      <c r="L19" s="554"/>
      <c r="M19" s="554"/>
      <c r="N19" s="554"/>
    </row>
    <row r="20" spans="1:14">
      <c r="B20" s="554"/>
      <c r="C20" s="554"/>
      <c r="D20" s="555"/>
      <c r="E20" s="555"/>
      <c r="F20" s="555"/>
      <c r="G20" s="554"/>
      <c r="H20" s="554"/>
      <c r="I20" s="554"/>
      <c r="J20" s="554"/>
      <c r="K20" s="554"/>
      <c r="L20" s="554"/>
      <c r="M20" s="554"/>
      <c r="N20" s="554"/>
    </row>
  </sheetData>
  <protectedRanges>
    <protectedRange sqref="H4:I4" name="範囲1"/>
  </protectedRanges>
  <mergeCells count="5">
    <mergeCell ref="A4:A5"/>
    <mergeCell ref="A6:A8"/>
    <mergeCell ref="A9:A12"/>
    <mergeCell ref="A13:A17"/>
    <mergeCell ref="H7:M9"/>
  </mergeCells>
  <phoneticPr fontId="105"/>
  <pageMargins left="0.25" right="0.25" top="0.75" bottom="0.75" header="0.3" footer="0.3"/>
  <pageSetup paperSize="9" scale="8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I70"/>
  <sheetViews>
    <sheetView showGridLines="0" showZeros="0" view="pageBreakPreview" zoomScale="85" zoomScaleNormal="77" zoomScaleSheetLayoutView="85" workbookViewId="0">
      <pane xSplit="7" ySplit="2" topLeftCell="H3" activePane="bottomRight" state="frozen"/>
      <selection activeCell="F46" sqref="F46:K46"/>
      <selection pane="topRight" activeCell="F46" sqref="F46:K46"/>
      <selection pane="bottomLeft" activeCell="F46" sqref="F46:K46"/>
      <selection pane="bottomRight" activeCell="F46" sqref="F46:K46"/>
    </sheetView>
  </sheetViews>
  <sheetFormatPr defaultColWidth="8.875" defaultRowHeight="15"/>
  <cols>
    <col min="1" max="1" width="11.625" style="124" customWidth="1"/>
    <col min="2" max="2" width="15.5" style="124" customWidth="1"/>
    <col min="3" max="3" width="4.625" style="124" customWidth="1"/>
    <col min="4" max="4" width="3.875" style="124" customWidth="1"/>
    <col min="5" max="5" width="12.375" style="3" customWidth="1"/>
    <col min="6" max="6" width="11.375" style="3" customWidth="1"/>
    <col min="7" max="7" width="4.875" style="3" customWidth="1"/>
    <col min="8" max="8" width="5.25" style="2" customWidth="1"/>
    <col min="9" max="9" width="11.125" style="2" customWidth="1"/>
    <col min="10" max="10" width="5.25" style="2" customWidth="1"/>
    <col min="11" max="11" width="10.375" style="2" customWidth="1"/>
    <col min="12" max="12" width="5.25" style="2" customWidth="1"/>
    <col min="13" max="13" width="11.125" style="2" customWidth="1"/>
    <col min="14" max="14" width="5.25" style="2" customWidth="1"/>
    <col min="15" max="15" width="10.375" style="2" customWidth="1"/>
    <col min="16" max="16" width="5.25" style="2" customWidth="1"/>
    <col min="17" max="17" width="11.125" style="2" customWidth="1"/>
    <col min="18" max="18" width="5.25" style="2" customWidth="1"/>
    <col min="19" max="19" width="10.375" style="2" customWidth="1"/>
    <col min="20" max="20" width="5.25" style="2" customWidth="1"/>
    <col min="21" max="21" width="11.125" style="2" customWidth="1"/>
    <col min="22" max="22" width="5.25" style="2" customWidth="1"/>
    <col min="23" max="23" width="10.375" style="2" customWidth="1"/>
    <col min="24" max="24" width="5.25" style="2" customWidth="1"/>
    <col min="25" max="25" width="11.125" style="2" customWidth="1"/>
    <col min="26" max="26" width="5.25" style="2" customWidth="1"/>
    <col min="27" max="27" width="10.375" style="2" customWidth="1"/>
    <col min="28" max="28" width="4.875" style="3" customWidth="1"/>
    <col min="29" max="30" width="12.5" style="3" customWidth="1"/>
    <col min="31" max="31" width="5.25" style="3" customWidth="1"/>
    <col min="32" max="32" width="17" style="3" customWidth="1"/>
    <col min="33" max="36" width="8.875" style="3" customWidth="1"/>
    <col min="37" max="40" width="9.25" style="2" customWidth="1"/>
    <col min="41" max="41" width="9.25" style="3" customWidth="1"/>
    <col min="42" max="45" width="9.25" style="2" customWidth="1"/>
    <col min="46" max="48" width="9.25" style="3" customWidth="1"/>
    <col min="49" max="52" width="9.25" style="2" customWidth="1"/>
    <col min="53" max="53" width="9.25" style="3" customWidth="1"/>
    <col min="54" max="57" width="9.25" style="2" customWidth="1"/>
    <col min="58" max="58" width="9.25" style="12" customWidth="1"/>
    <col min="59" max="59" width="8.875" style="3" customWidth="1"/>
    <col min="60" max="60" width="4" style="3" customWidth="1"/>
    <col min="61" max="61" width="17" style="3" customWidth="1"/>
    <col min="62" max="65" width="8.875" style="3" customWidth="1"/>
    <col min="66" max="69" width="9.25" style="2" customWidth="1"/>
    <col min="70" max="70" width="9.25" style="3" customWidth="1"/>
    <col min="71" max="74" width="9.25" style="2" customWidth="1"/>
    <col min="75" max="77" width="9.25" style="3" customWidth="1"/>
    <col min="78" max="81" width="9.25" style="2" customWidth="1"/>
    <col min="82" max="82" width="9.25" style="3" customWidth="1"/>
    <col min="83" max="86" width="9.25" style="2" customWidth="1"/>
    <col min="87" max="87" width="9.25" style="12" customWidth="1"/>
    <col min="88" max="16384" width="8.875" style="3"/>
  </cols>
  <sheetData>
    <row r="1" spans="1:87" ht="39" customHeight="1" thickTop="1" thickBot="1">
      <c r="A1" s="145">
        <f>入力画面!C60</f>
        <v>0</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E1" s="270">
        <f>'医療分・支援・子供・介護分（印刷））'!AG6+'医療分・支援・子供・介護分（印刷））'!AG95+'医療分・支援・子供・介護分（印刷））'!AG272</f>
        <v>0</v>
      </c>
      <c r="AF1" s="1272" t="s">
        <v>96</v>
      </c>
      <c r="AG1" s="1272"/>
      <c r="AH1" s="1272"/>
      <c r="AI1" s="1272"/>
      <c r="AJ1" s="1272"/>
      <c r="AK1" s="1272"/>
      <c r="AL1" s="1272"/>
      <c r="AM1" s="1272"/>
      <c r="AN1" s="1272"/>
      <c r="AO1" s="1271" t="s">
        <v>103</v>
      </c>
      <c r="AP1" s="1271"/>
      <c r="AQ1" s="1271"/>
      <c r="AR1" s="1271"/>
      <c r="AS1" s="1271"/>
      <c r="AT1" s="1271"/>
      <c r="AU1" s="7"/>
      <c r="AV1" s="4"/>
      <c r="AW1" s="148"/>
      <c r="AX1" s="148"/>
      <c r="AY1" s="148"/>
      <c r="AZ1" s="148"/>
      <c r="BA1" s="4"/>
      <c r="BB1" s="148"/>
      <c r="BC1" s="148"/>
      <c r="BD1" s="148"/>
      <c r="BE1" s="148"/>
      <c r="BH1" s="147"/>
      <c r="BI1" s="1272" t="s">
        <v>96</v>
      </c>
      <c r="BJ1" s="1272"/>
      <c r="BK1" s="1272"/>
      <c r="BL1" s="1272"/>
      <c r="BM1" s="1272"/>
      <c r="BN1" s="1272"/>
      <c r="BO1" s="1272"/>
      <c r="BP1" s="1272"/>
      <c r="BQ1" s="1272"/>
      <c r="BR1" s="1271" t="s">
        <v>102</v>
      </c>
      <c r="BS1" s="1271"/>
      <c r="BT1" s="1271"/>
      <c r="BU1" s="1271"/>
      <c r="BV1" s="1271"/>
      <c r="BW1" s="1271"/>
      <c r="BX1" s="7"/>
      <c r="BY1" s="4"/>
      <c r="BZ1" s="148"/>
      <c r="CA1" s="148"/>
      <c r="CB1" s="148"/>
      <c r="CC1" s="148"/>
      <c r="CD1" s="4"/>
      <c r="CE1" s="148"/>
      <c r="CF1" s="148"/>
      <c r="CG1" s="148"/>
      <c r="CH1" s="148"/>
    </row>
    <row r="2" spans="1:87" ht="39" customHeight="1" thickTop="1">
      <c r="A2" s="145"/>
      <c r="B2" s="1282">
        <f>IF('医療分・支援・子供・介護分（印刷））'!AG6+'医療分・支援・子供・介護分（印刷））'!AG272&gt;0,"＊＊＊!！限度超過のため内訳計算不可!！＊＊＊",0)</f>
        <v>0</v>
      </c>
      <c r="C2" s="1282"/>
      <c r="D2" s="1282"/>
      <c r="E2" s="1282"/>
      <c r="F2" s="1282"/>
      <c r="G2" s="1282"/>
      <c r="H2" s="1282"/>
      <c r="I2" s="1282"/>
      <c r="J2" s="1282"/>
      <c r="K2" s="1282"/>
      <c r="L2" s="1282"/>
      <c r="M2" s="1282"/>
      <c r="N2" s="1282"/>
      <c r="O2" s="1282"/>
      <c r="P2" s="1282"/>
      <c r="Q2" s="1282"/>
      <c r="R2" s="1282"/>
      <c r="S2" s="1282"/>
      <c r="T2" s="625"/>
      <c r="U2" s="625"/>
      <c r="V2" s="625"/>
      <c r="W2" s="625"/>
      <c r="X2" s="145"/>
      <c r="Y2" s="145"/>
      <c r="Z2" s="145"/>
      <c r="AA2" s="145"/>
      <c r="AB2" s="145"/>
      <c r="AE2" s="1275" t="s">
        <v>175</v>
      </c>
      <c r="AF2" s="252"/>
      <c r="AG2" s="252"/>
      <c r="AH2" s="252"/>
      <c r="AI2" s="252"/>
      <c r="AJ2" s="252"/>
      <c r="AK2" s="252"/>
      <c r="AL2" s="252"/>
      <c r="AM2" s="252"/>
      <c r="AN2" s="252"/>
      <c r="AO2" s="253"/>
      <c r="AP2" s="253"/>
      <c r="AQ2" s="253"/>
      <c r="AR2" s="253"/>
      <c r="AS2" s="253"/>
      <c r="AT2" s="253"/>
      <c r="AU2" s="4"/>
      <c r="AV2" s="4"/>
      <c r="AW2" s="254"/>
      <c r="AX2" s="254"/>
      <c r="AY2" s="254"/>
      <c r="AZ2" s="254"/>
      <c r="BA2" s="4"/>
      <c r="BB2" s="254"/>
      <c r="BC2" s="254"/>
      <c r="BD2" s="254"/>
      <c r="BE2" s="254"/>
      <c r="BH2" s="56"/>
      <c r="BI2" s="252"/>
      <c r="BJ2" s="252"/>
      <c r="BK2" s="252"/>
      <c r="BL2" s="252"/>
      <c r="BM2" s="252"/>
      <c r="BN2" s="252"/>
      <c r="BO2" s="252"/>
      <c r="BP2" s="252"/>
      <c r="BQ2" s="252"/>
      <c r="BR2" s="253"/>
      <c r="BS2" s="253"/>
      <c r="BT2" s="253"/>
      <c r="BU2" s="253"/>
      <c r="BV2" s="253"/>
      <c r="BW2" s="253"/>
      <c r="BX2" s="4"/>
      <c r="BY2" s="4"/>
      <c r="BZ2" s="254"/>
      <c r="CA2" s="254"/>
      <c r="CB2" s="254"/>
      <c r="CC2" s="254"/>
      <c r="CD2" s="4"/>
      <c r="CE2" s="254"/>
      <c r="CF2" s="254"/>
      <c r="CG2" s="254"/>
      <c r="CH2" s="254"/>
    </row>
    <row r="3" spans="1:87" ht="30" customHeight="1">
      <c r="A3" s="1335" t="s">
        <v>60</v>
      </c>
      <c r="B3" s="1336"/>
      <c r="C3" s="1337"/>
      <c r="D3" s="145"/>
      <c r="H3" s="145"/>
      <c r="I3" s="145"/>
      <c r="J3" s="145"/>
      <c r="K3" s="145"/>
      <c r="L3" s="145"/>
      <c r="M3" s="145"/>
      <c r="N3" s="145"/>
      <c r="O3" s="145"/>
      <c r="P3" s="145"/>
      <c r="Q3" s="145"/>
      <c r="R3" s="145"/>
      <c r="S3" s="145"/>
      <c r="T3" s="145"/>
      <c r="U3" s="145"/>
      <c r="V3" s="145"/>
      <c r="W3" s="145"/>
      <c r="X3" s="145"/>
      <c r="Y3" s="145"/>
      <c r="Z3" s="145"/>
      <c r="AA3" s="145"/>
      <c r="AB3" s="145"/>
      <c r="AE3" s="1276"/>
      <c r="AF3" s="252"/>
      <c r="AG3" s="252"/>
      <c r="AH3" s="252"/>
      <c r="AI3" s="252"/>
      <c r="AJ3" s="252"/>
      <c r="AK3" s="252"/>
      <c r="AL3" s="252"/>
      <c r="AM3" s="252"/>
      <c r="AN3" s="252"/>
      <c r="AO3" s="253"/>
      <c r="AP3" s="253"/>
      <c r="AQ3" s="253"/>
      <c r="AR3" s="253"/>
      <c r="AS3" s="253"/>
      <c r="AT3" s="253"/>
      <c r="AU3" s="4"/>
      <c r="AV3" s="4"/>
      <c r="AW3" s="254"/>
      <c r="AX3" s="254"/>
      <c r="AY3" s="254"/>
      <c r="AZ3" s="254"/>
      <c r="BA3" s="4"/>
      <c r="BB3" s="254"/>
      <c r="BC3" s="254"/>
      <c r="BD3" s="254"/>
      <c r="BE3" s="254"/>
      <c r="BH3" s="56"/>
      <c r="BI3" s="252"/>
      <c r="BJ3" s="252"/>
      <c r="BK3" s="252"/>
      <c r="BL3" s="252"/>
      <c r="BM3" s="252"/>
      <c r="BN3" s="252"/>
      <c r="BO3" s="252"/>
      <c r="BP3" s="252"/>
      <c r="BQ3" s="252"/>
      <c r="BR3" s="253"/>
      <c r="BS3" s="253"/>
      <c r="BT3" s="253"/>
      <c r="BU3" s="253"/>
      <c r="BV3" s="253"/>
      <c r="BW3" s="253"/>
      <c r="BX3" s="4"/>
      <c r="BY3" s="4"/>
      <c r="BZ3" s="254"/>
      <c r="CA3" s="254"/>
      <c r="CB3" s="254"/>
      <c r="CC3" s="254"/>
      <c r="CD3" s="4"/>
      <c r="CE3" s="254"/>
      <c r="CF3" s="254"/>
      <c r="CG3" s="254"/>
      <c r="CH3" s="254"/>
    </row>
    <row r="4" spans="1:87" ht="30" customHeight="1" thickBot="1">
      <c r="A4" s="134" t="s">
        <v>78</v>
      </c>
      <c r="B4" s="1333">
        <f>入力画面!D9</f>
        <v>0</v>
      </c>
      <c r="C4" s="1334"/>
      <c r="D4" s="3"/>
      <c r="H4" s="3"/>
      <c r="I4" s="3"/>
      <c r="J4" s="3"/>
      <c r="K4" s="3"/>
      <c r="L4" s="3"/>
      <c r="M4" s="3"/>
      <c r="N4" s="3"/>
      <c r="O4" s="3"/>
      <c r="P4" s="3"/>
      <c r="Q4" s="3"/>
      <c r="R4" s="3"/>
      <c r="S4" s="3"/>
      <c r="T4" s="3"/>
      <c r="U4" s="3"/>
      <c r="V4" s="3"/>
      <c r="W4" s="3"/>
      <c r="AE4" s="1276"/>
      <c r="AF4" s="12"/>
      <c r="AG4" s="12"/>
      <c r="AH4" s="12"/>
      <c r="AI4" s="12"/>
      <c r="AJ4" s="12"/>
      <c r="AK4" s="4"/>
      <c r="AL4" s="4"/>
      <c r="AM4" s="4"/>
      <c r="AN4" s="4"/>
      <c r="AO4" s="12"/>
      <c r="AP4" s="4"/>
      <c r="AQ4" s="4"/>
      <c r="AR4" s="4"/>
      <c r="AS4" s="4"/>
      <c r="AT4" s="12"/>
      <c r="AU4" s="12"/>
      <c r="AV4" s="12"/>
      <c r="AW4" s="4"/>
      <c r="AX4" s="4"/>
      <c r="AY4" s="4"/>
      <c r="AZ4" s="4"/>
      <c r="BA4" s="12"/>
      <c r="BB4" s="4"/>
      <c r="BC4" s="4"/>
      <c r="BD4" s="4"/>
      <c r="BE4" s="4"/>
      <c r="BG4" s="12"/>
      <c r="BH4" s="56"/>
      <c r="BI4" s="12"/>
      <c r="BJ4" s="12"/>
      <c r="BK4" s="12"/>
      <c r="BL4" s="12"/>
      <c r="BM4" s="12"/>
      <c r="BN4" s="4"/>
      <c r="BO4" s="4"/>
      <c r="BP4" s="4"/>
      <c r="BQ4" s="4"/>
      <c r="BR4" s="12"/>
      <c r="BS4" s="4"/>
      <c r="BT4" s="4"/>
      <c r="BU4" s="4"/>
      <c r="BV4" s="4"/>
      <c r="BW4" s="12"/>
      <c r="BX4" s="12"/>
      <c r="BY4" s="12"/>
      <c r="BZ4" s="4"/>
      <c r="CA4" s="4"/>
      <c r="CB4" s="4"/>
      <c r="CC4" s="4"/>
      <c r="CD4" s="12"/>
      <c r="CE4" s="4"/>
      <c r="CF4" s="4"/>
      <c r="CG4" s="4"/>
      <c r="CH4" s="4"/>
      <c r="CI4" s="13"/>
    </row>
    <row r="5" spans="1:87" ht="30" customHeight="1" thickTop="1" thickBot="1">
      <c r="A5" s="1353">
        <f>入力画面!G9</f>
        <v>7</v>
      </c>
      <c r="B5" s="1353"/>
      <c r="C5" s="1353"/>
      <c r="E5" s="1338" t="s">
        <v>81</v>
      </c>
      <c r="F5" s="1339"/>
      <c r="G5" s="1340"/>
      <c r="H5" s="1342" t="s">
        <v>69</v>
      </c>
      <c r="I5" s="1342"/>
      <c r="J5" s="1342"/>
      <c r="K5" s="1343"/>
      <c r="L5" s="1341" t="s">
        <v>159</v>
      </c>
      <c r="M5" s="1342"/>
      <c r="N5" s="1342"/>
      <c r="O5" s="1343"/>
      <c r="P5" s="1341" t="s">
        <v>409</v>
      </c>
      <c r="Q5" s="1342"/>
      <c r="R5" s="1342"/>
      <c r="S5" s="1343"/>
      <c r="T5" s="1341" t="s">
        <v>70</v>
      </c>
      <c r="U5" s="1342"/>
      <c r="V5" s="1342"/>
      <c r="W5" s="1343"/>
      <c r="X5" s="1341" t="s">
        <v>76</v>
      </c>
      <c r="Y5" s="1342"/>
      <c r="Z5" s="1342"/>
      <c r="AA5" s="1343"/>
      <c r="AE5" s="1276"/>
      <c r="AF5" s="12"/>
      <c r="AG5" s="12"/>
      <c r="AH5" s="12"/>
      <c r="AI5" s="12"/>
      <c r="AJ5" s="12"/>
      <c r="AK5" s="1260" t="s">
        <v>101</v>
      </c>
      <c r="AL5" s="1261"/>
      <c r="AM5" s="1261"/>
      <c r="AN5" s="1262"/>
      <c r="AO5" s="12"/>
      <c r="AP5" s="1260" t="s">
        <v>95</v>
      </c>
      <c r="AQ5" s="1261"/>
      <c r="AR5" s="1261"/>
      <c r="AS5" s="1262"/>
      <c r="AT5" s="12"/>
      <c r="AU5" s="12"/>
      <c r="AV5" s="12"/>
      <c r="AW5" s="1260" t="s">
        <v>98</v>
      </c>
      <c r="AX5" s="1261"/>
      <c r="AY5" s="1261"/>
      <c r="AZ5" s="1262"/>
      <c r="BA5" s="12"/>
      <c r="BB5" s="1260" t="s">
        <v>98</v>
      </c>
      <c r="BC5" s="1261"/>
      <c r="BD5" s="1261"/>
      <c r="BE5" s="1262"/>
      <c r="BG5" s="12"/>
      <c r="BH5" s="56"/>
      <c r="BI5" s="12"/>
      <c r="BJ5" s="12"/>
      <c r="BK5" s="12"/>
      <c r="BL5" s="12"/>
      <c r="BM5" s="12"/>
      <c r="BN5" s="1260" t="s">
        <v>101</v>
      </c>
      <c r="BO5" s="1261"/>
      <c r="BP5" s="1261"/>
      <c r="BQ5" s="1262"/>
      <c r="BR5" s="12"/>
      <c r="BS5" s="1260" t="s">
        <v>95</v>
      </c>
      <c r="BT5" s="1261"/>
      <c r="BU5" s="1261"/>
      <c r="BV5" s="1262"/>
      <c r="BW5" s="12"/>
      <c r="BX5" s="12"/>
      <c r="BY5" s="12"/>
      <c r="BZ5" s="1260" t="s">
        <v>98</v>
      </c>
      <c r="CA5" s="1261"/>
      <c r="CB5" s="1261"/>
      <c r="CC5" s="1262"/>
      <c r="CD5" s="12"/>
      <c r="CE5" s="1260" t="s">
        <v>98</v>
      </c>
      <c r="CF5" s="1261"/>
      <c r="CG5" s="1261"/>
      <c r="CH5" s="1262"/>
      <c r="CI5" s="13"/>
    </row>
    <row r="6" spans="1:87" ht="30" customHeight="1" thickTop="1">
      <c r="A6" s="1354" t="s">
        <v>163</v>
      </c>
      <c r="B6" s="1347">
        <f>'医療分・支援・子供・介護分（印刷））'!Y11+'医療分・支援・子供・介護分（印刷））'!Y100+'医療分・支援・子供・介護分（印刷））'!Y189+'医療分・支援・子供・介護分（印刷））'!Y277</f>
        <v>1783</v>
      </c>
      <c r="C6" s="1344" t="s">
        <v>6</v>
      </c>
      <c r="E6" s="660" t="s">
        <v>69</v>
      </c>
      <c r="F6" s="663">
        <f>'医療分・支援・子供・介護分（印刷））'!L87</f>
        <v>15900</v>
      </c>
      <c r="G6" s="664" t="s">
        <v>6</v>
      </c>
      <c r="H6" s="135" t="s">
        <v>34</v>
      </c>
      <c r="I6" s="23">
        <f>IF($AE$1&gt;0,0,'医療分・支援・子供・介護分（印刷））'!X5)</f>
        <v>1857</v>
      </c>
      <c r="J6" s="24" t="s">
        <v>39</v>
      </c>
      <c r="K6" s="25">
        <f>IF($AE$1&gt;0,0,'医療分・支援・子供・介護分（印刷））'!Z5)</f>
        <v>1560</v>
      </c>
      <c r="L6" s="22" t="s">
        <v>34</v>
      </c>
      <c r="M6" s="23">
        <f>IF($AE$1&gt;0,0,'医療分・支援・子供・介護分（印刷））'!X94)</f>
        <v>643</v>
      </c>
      <c r="N6" s="24" t="s">
        <v>39</v>
      </c>
      <c r="O6" s="25">
        <f>IF($AE$1&gt;0,0,'医療分・支援・子供・介護分（印刷））'!Z94)</f>
        <v>540</v>
      </c>
      <c r="P6" s="22" t="s">
        <v>34</v>
      </c>
      <c r="Q6" s="23">
        <f>IF($AE$1&gt;0,0,'医療分・支援・子供・介護分（印刷））'!X182)</f>
        <v>0</v>
      </c>
      <c r="R6" s="24" t="s">
        <v>39</v>
      </c>
      <c r="S6" s="25">
        <f>IF($AE$1&gt;0,0,'医療分・支援・子供・介護分（印刷））'!Z182)</f>
        <v>0</v>
      </c>
      <c r="T6" s="22" t="s">
        <v>34</v>
      </c>
      <c r="U6" s="23">
        <f>IF($AE$1&gt;0,0,'医療分・支援・子供・介護分（印刷））'!X271)</f>
        <v>0</v>
      </c>
      <c r="V6" s="24" t="s">
        <v>39</v>
      </c>
      <c r="W6" s="25">
        <f>IF($AE$1&gt;0,0,'医療分・支援・子供・介護分（印刷））'!Z271)</f>
        <v>0</v>
      </c>
      <c r="X6" s="22" t="s">
        <v>34</v>
      </c>
      <c r="Y6" s="23">
        <f>I6+M6+Q6+U6</f>
        <v>2500</v>
      </c>
      <c r="Z6" s="24" t="s">
        <v>39</v>
      </c>
      <c r="AA6" s="25">
        <f>K6+O6+S6+W6</f>
        <v>2100</v>
      </c>
      <c r="AE6" s="1276"/>
      <c r="AF6" s="146" t="s">
        <v>92</v>
      </c>
      <c r="AG6" s="1267">
        <f>IF(入力画面!R7=1,入力画面!$Q$5,0)</f>
        <v>0</v>
      </c>
      <c r="AH6" s="1268"/>
      <c r="AI6" s="21" t="s">
        <v>6</v>
      </c>
      <c r="AJ6" s="12"/>
      <c r="AK6" s="671" t="s">
        <v>34</v>
      </c>
      <c r="AL6" s="672">
        <f>Y6</f>
        <v>2500</v>
      </c>
      <c r="AM6" s="673" t="s">
        <v>39</v>
      </c>
      <c r="AN6" s="674">
        <f>Y6+Y7+Y8+Y9+Y10+Y11+AA6</f>
        <v>15100</v>
      </c>
      <c r="AO6" s="12"/>
      <c r="AP6" s="28" t="s">
        <v>34</v>
      </c>
      <c r="AQ6" s="29">
        <f>IF($AG$6=$AL$6,AL6,0)</f>
        <v>0</v>
      </c>
      <c r="AR6" s="30" t="s">
        <v>39</v>
      </c>
      <c r="AS6" s="31">
        <f>IF($AG$6=$AN$6,AN6,0)</f>
        <v>0</v>
      </c>
      <c r="AT6" s="12"/>
      <c r="AU6" s="12"/>
      <c r="AV6" s="12"/>
      <c r="AW6" s="28" t="s">
        <v>34</v>
      </c>
      <c r="AX6" s="29">
        <f t="shared" ref="AX6:AX11" si="0">IF(AQ6=0,0,1)</f>
        <v>0</v>
      </c>
      <c r="AY6" s="30" t="s">
        <v>39</v>
      </c>
      <c r="AZ6" s="31">
        <f>IF(AS6=0,0,1)</f>
        <v>0</v>
      </c>
      <c r="BA6" s="12"/>
      <c r="BB6" s="28" t="s">
        <v>34</v>
      </c>
      <c r="BC6" s="29">
        <f t="shared" ref="BC6:BC11" si="1">IF(AX6=1,AL6,0)</f>
        <v>0</v>
      </c>
      <c r="BD6" s="30" t="s">
        <v>39</v>
      </c>
      <c r="BE6" s="31">
        <f>IF(AZ6=1,AN6,0)</f>
        <v>0</v>
      </c>
      <c r="BG6" s="12"/>
      <c r="BH6" s="56"/>
      <c r="BI6" s="146" t="s">
        <v>92</v>
      </c>
      <c r="BJ6" s="1267">
        <f>IF(入力画面!R8=1,入力画面!$Q$5,0)</f>
        <v>0</v>
      </c>
      <c r="BK6" s="1268"/>
      <c r="BL6" s="21" t="s">
        <v>6</v>
      </c>
      <c r="BM6" s="12"/>
      <c r="BN6" s="28" t="s">
        <v>143</v>
      </c>
      <c r="BO6" s="672">
        <f>Y6+Y7+Y8+Y9+Y10+Y11+AA6+AA7+AA8+AA9</f>
        <v>21400</v>
      </c>
      <c r="BP6" s="30" t="s">
        <v>39</v>
      </c>
      <c r="BQ6" s="674">
        <f>SUM(AA6:AA9)</f>
        <v>8400</v>
      </c>
      <c r="BR6" s="12"/>
      <c r="BS6" s="28" t="s">
        <v>34</v>
      </c>
      <c r="BT6" s="29">
        <f>IF($BJ$6=$BO$6,BO6,0)</f>
        <v>0</v>
      </c>
      <c r="BU6" s="30" t="s">
        <v>39</v>
      </c>
      <c r="BV6" s="31">
        <f>IF($BJ$6=$BQ$6,BQ6,0)</f>
        <v>0</v>
      </c>
      <c r="BW6" s="12"/>
      <c r="BX6" s="12"/>
      <c r="BY6" s="12"/>
      <c r="BZ6" s="28" t="s">
        <v>34</v>
      </c>
      <c r="CA6" s="29">
        <f t="shared" ref="CA6:CA11" si="2">IF(BT6=0,0,1)</f>
        <v>0</v>
      </c>
      <c r="CB6" s="30" t="s">
        <v>39</v>
      </c>
      <c r="CC6" s="31">
        <f>IF(BV6=0,0,1)</f>
        <v>0</v>
      </c>
      <c r="CD6" s="12"/>
      <c r="CE6" s="28" t="s">
        <v>34</v>
      </c>
      <c r="CF6" s="29">
        <f t="shared" ref="CF6:CF11" si="3">IF(CA6=1,BO6,0)</f>
        <v>0</v>
      </c>
      <c r="CG6" s="30" t="s">
        <v>39</v>
      </c>
      <c r="CH6" s="31">
        <f>IF(CC6=1,BQ6,0)</f>
        <v>0</v>
      </c>
      <c r="CI6" s="13"/>
    </row>
    <row r="7" spans="1:87" ht="30" customHeight="1">
      <c r="A7" s="1355"/>
      <c r="B7" s="1348"/>
      <c r="C7" s="1345"/>
      <c r="D7" s="131"/>
      <c r="E7" s="665" t="s">
        <v>159</v>
      </c>
      <c r="F7" s="661">
        <f>'医療分・支援・子供・介護分（印刷））'!L176</f>
        <v>5500</v>
      </c>
      <c r="G7" s="662" t="s">
        <v>6</v>
      </c>
      <c r="H7" s="82" t="s">
        <v>35</v>
      </c>
      <c r="I7" s="29">
        <f>IF($AE$1&gt;0,0,'医療分・支援・子供・介護分（印刷））'!X6)</f>
        <v>1560</v>
      </c>
      <c r="J7" s="30" t="s">
        <v>40</v>
      </c>
      <c r="K7" s="31">
        <f>IF($AE$1&gt;0,0,'医療分・支援・子供・介護分（印刷））'!Z6)</f>
        <v>1561</v>
      </c>
      <c r="L7" s="28" t="s">
        <v>35</v>
      </c>
      <c r="M7" s="29">
        <f>IF($AE$1&gt;0,0,'医療分・支援・子供・介護分（印刷））'!X95)</f>
        <v>540</v>
      </c>
      <c r="N7" s="30" t="s">
        <v>40</v>
      </c>
      <c r="O7" s="31">
        <f>IF($AE$1&gt;0,0,'医療分・支援・子供・介護分（印刷））'!Z95)</f>
        <v>539</v>
      </c>
      <c r="P7" s="28" t="s">
        <v>35</v>
      </c>
      <c r="Q7" s="29">
        <f>IF($AE$1&gt;0,0,'医療分・支援・子供・介護分（印刷））'!X183)</f>
        <v>0</v>
      </c>
      <c r="R7" s="30" t="s">
        <v>40</v>
      </c>
      <c r="S7" s="31">
        <f>IF($AE$1&gt;0,0,'医療分・支援・子供・介護分（印刷））'!Z183)</f>
        <v>0</v>
      </c>
      <c r="T7" s="28" t="s">
        <v>35</v>
      </c>
      <c r="U7" s="29">
        <f>IF($AE$1&gt;0,0,'医療分・支援・子供・介護分（印刷））'!X272)</f>
        <v>0</v>
      </c>
      <c r="V7" s="30" t="s">
        <v>40</v>
      </c>
      <c r="W7" s="31">
        <f>IF($AE$1&gt;0,0,'医療分・支援・子供・介護分（印刷））'!Z272)</f>
        <v>0</v>
      </c>
      <c r="X7" s="28" t="s">
        <v>35</v>
      </c>
      <c r="Y7" s="29">
        <f t="shared" ref="Y7:Y10" si="4">I7+M7+Q7+U7</f>
        <v>2100</v>
      </c>
      <c r="Z7" s="30" t="s">
        <v>40</v>
      </c>
      <c r="AA7" s="31">
        <f t="shared" ref="AA7:AA9" si="5">K7+O7+S7+W7</f>
        <v>2100</v>
      </c>
      <c r="AE7" s="1276"/>
      <c r="AF7" s="12"/>
      <c r="AG7" s="1251"/>
      <c r="AH7" s="1252"/>
      <c r="AI7" s="50"/>
      <c r="AJ7" s="12"/>
      <c r="AK7" s="671" t="s">
        <v>35</v>
      </c>
      <c r="AL7" s="672">
        <f>SUM(Y6:Y7)</f>
        <v>4600</v>
      </c>
      <c r="AM7" s="673" t="s">
        <v>40</v>
      </c>
      <c r="AN7" s="674">
        <f>Y6+Y7+Y8+Y9+Y10+Y11+AA6+AA7</f>
        <v>17200</v>
      </c>
      <c r="AO7" s="12"/>
      <c r="AP7" s="28" t="s">
        <v>35</v>
      </c>
      <c r="AQ7" s="29">
        <f>IF($AG$6=$AL$7,AL7,0)</f>
        <v>0</v>
      </c>
      <c r="AR7" s="30" t="s">
        <v>40</v>
      </c>
      <c r="AS7" s="31">
        <f>IF($AG$6=$AN$7,AN7,0)</f>
        <v>0</v>
      </c>
      <c r="AT7" s="12"/>
      <c r="AU7" s="12"/>
      <c r="AV7" s="12"/>
      <c r="AW7" s="28" t="s">
        <v>35</v>
      </c>
      <c r="AX7" s="29">
        <f t="shared" si="0"/>
        <v>0</v>
      </c>
      <c r="AY7" s="30" t="s">
        <v>40</v>
      </c>
      <c r="AZ7" s="31">
        <f>IF(AS7=0,0,1)</f>
        <v>0</v>
      </c>
      <c r="BA7" s="12"/>
      <c r="BB7" s="28" t="s">
        <v>35</v>
      </c>
      <c r="BC7" s="29">
        <f t="shared" si="1"/>
        <v>0</v>
      </c>
      <c r="BD7" s="30" t="s">
        <v>40</v>
      </c>
      <c r="BE7" s="31">
        <f>IF(AZ7=1,AN7,0)</f>
        <v>0</v>
      </c>
      <c r="BG7" s="12"/>
      <c r="BH7" s="56"/>
      <c r="BI7" s="12"/>
      <c r="BJ7" s="1251"/>
      <c r="BK7" s="1252"/>
      <c r="BL7" s="50"/>
      <c r="BM7" s="12"/>
      <c r="BN7" s="28" t="s">
        <v>35</v>
      </c>
      <c r="BO7" s="672">
        <f>Y7+Y8+Y9+Y10+Y11+AA6+AA7+AA8+AA9</f>
        <v>18900</v>
      </c>
      <c r="BP7" s="30" t="s">
        <v>40</v>
      </c>
      <c r="BQ7" s="674">
        <f>SUM(AA7:AA9)</f>
        <v>6300</v>
      </c>
      <c r="BR7" s="12"/>
      <c r="BS7" s="28" t="s">
        <v>35</v>
      </c>
      <c r="BT7" s="29">
        <f>IF($BJ$6=$BO$7,BO7,0)</f>
        <v>0</v>
      </c>
      <c r="BU7" s="30" t="s">
        <v>40</v>
      </c>
      <c r="BV7" s="31">
        <f>IF($BJ$6=$BQ$7,BQ7,0)</f>
        <v>0</v>
      </c>
      <c r="BW7" s="12"/>
      <c r="BX7" s="12"/>
      <c r="BY7" s="12"/>
      <c r="BZ7" s="28" t="s">
        <v>35</v>
      </c>
      <c r="CA7" s="29">
        <f t="shared" si="2"/>
        <v>0</v>
      </c>
      <c r="CB7" s="30" t="s">
        <v>40</v>
      </c>
      <c r="CC7" s="31">
        <f>IF(BV7=0,0,1)</f>
        <v>0</v>
      </c>
      <c r="CD7" s="12"/>
      <c r="CE7" s="28" t="s">
        <v>35</v>
      </c>
      <c r="CF7" s="29">
        <f t="shared" si="3"/>
        <v>0</v>
      </c>
      <c r="CG7" s="30" t="s">
        <v>40</v>
      </c>
      <c r="CH7" s="31">
        <f>IF(CC7=1,BQ7,0)</f>
        <v>0</v>
      </c>
      <c r="CI7" s="13"/>
    </row>
    <row r="8" spans="1:87" ht="30" customHeight="1" thickBot="1">
      <c r="A8" s="1356"/>
      <c r="B8" s="1349"/>
      <c r="C8" s="1346"/>
      <c r="D8" s="207"/>
      <c r="E8" s="665" t="s">
        <v>408</v>
      </c>
      <c r="F8" s="661">
        <f>'医療分・支援・子供・介護分（印刷））'!L264</f>
        <v>0</v>
      </c>
      <c r="G8" s="662" t="s">
        <v>6</v>
      </c>
      <c r="H8" s="82" t="s">
        <v>36</v>
      </c>
      <c r="I8" s="29">
        <f>IF($AE$1&gt;0,0,'医療分・支援・子供・介護分（印刷））'!X7)</f>
        <v>1560</v>
      </c>
      <c r="J8" s="30" t="s">
        <v>41</v>
      </c>
      <c r="K8" s="31">
        <f>IF($AE$1&gt;0,0,'医療分・支援・子供・介護分（印刷））'!Z7)</f>
        <v>1561</v>
      </c>
      <c r="L8" s="28" t="s">
        <v>36</v>
      </c>
      <c r="M8" s="29">
        <f>IF($AE$1&gt;0,0,'医療分・支援・子供・介護分（印刷））'!X96)</f>
        <v>540</v>
      </c>
      <c r="N8" s="30" t="s">
        <v>41</v>
      </c>
      <c r="O8" s="31">
        <f>IF($AE$1&gt;0,0,'医療分・支援・子供・介護分（印刷））'!Z96)</f>
        <v>539</v>
      </c>
      <c r="P8" s="28" t="s">
        <v>36</v>
      </c>
      <c r="Q8" s="29">
        <f>IF($AE$1&gt;0,0,'医療分・支援・子供・介護分（印刷））'!X184)</f>
        <v>0</v>
      </c>
      <c r="R8" s="30" t="s">
        <v>41</v>
      </c>
      <c r="S8" s="31">
        <f>IF($AE$1&gt;0,0,'医療分・支援・子供・介護分（印刷））'!Z184)</f>
        <v>0</v>
      </c>
      <c r="T8" s="28" t="s">
        <v>36</v>
      </c>
      <c r="U8" s="29">
        <f>IF($AE$1&gt;0,0,'医療分・支援・子供・介護分（印刷））'!X273)</f>
        <v>0</v>
      </c>
      <c r="V8" s="30" t="s">
        <v>41</v>
      </c>
      <c r="W8" s="31">
        <f>IF($AE$1&gt;0,0,'医療分・支援・子供・介護分（印刷））'!Z273)</f>
        <v>0</v>
      </c>
      <c r="X8" s="28" t="s">
        <v>36</v>
      </c>
      <c r="Y8" s="29">
        <f t="shared" si="4"/>
        <v>2100</v>
      </c>
      <c r="Z8" s="30" t="s">
        <v>41</v>
      </c>
      <c r="AA8" s="31">
        <f t="shared" si="5"/>
        <v>2100</v>
      </c>
      <c r="AE8" s="1276"/>
      <c r="AF8" s="12"/>
      <c r="AG8" s="1251"/>
      <c r="AH8" s="1252"/>
      <c r="AI8" s="50"/>
      <c r="AJ8" s="12"/>
      <c r="AK8" s="671" t="s">
        <v>36</v>
      </c>
      <c r="AL8" s="672">
        <f>SUM(Y6:Y8)</f>
        <v>6700</v>
      </c>
      <c r="AM8" s="673" t="s">
        <v>41</v>
      </c>
      <c r="AN8" s="674">
        <f>Y6+Y7+Y8+Y9+Y10+Y11+AA6+AA7+AA8</f>
        <v>19300</v>
      </c>
      <c r="AO8" s="12"/>
      <c r="AP8" s="28" t="s">
        <v>36</v>
      </c>
      <c r="AQ8" s="29">
        <f>IF($AG$6=$AL$8,AL8,0)</f>
        <v>0</v>
      </c>
      <c r="AR8" s="30" t="s">
        <v>41</v>
      </c>
      <c r="AS8" s="31">
        <f>IF($AG$6=$AN$8,AN8,0)</f>
        <v>0</v>
      </c>
      <c r="AT8" s="1273"/>
      <c r="AU8" s="12"/>
      <c r="AV8" s="12"/>
      <c r="AW8" s="28" t="s">
        <v>36</v>
      </c>
      <c r="AX8" s="29">
        <f t="shared" si="0"/>
        <v>0</v>
      </c>
      <c r="AY8" s="30" t="s">
        <v>41</v>
      </c>
      <c r="AZ8" s="31">
        <f>IF(AS8=0,0,1)</f>
        <v>0</v>
      </c>
      <c r="BA8" s="12"/>
      <c r="BB8" s="28" t="s">
        <v>36</v>
      </c>
      <c r="BC8" s="29">
        <f t="shared" si="1"/>
        <v>0</v>
      </c>
      <c r="BD8" s="30" t="s">
        <v>41</v>
      </c>
      <c r="BE8" s="31">
        <f>IF(AZ8=1,AN8,0)</f>
        <v>0</v>
      </c>
      <c r="BG8" s="12"/>
      <c r="BH8" s="56"/>
      <c r="BI8" s="12"/>
      <c r="BJ8" s="1251"/>
      <c r="BK8" s="1252"/>
      <c r="BL8" s="50"/>
      <c r="BM8" s="12"/>
      <c r="BN8" s="28" t="s">
        <v>36</v>
      </c>
      <c r="BO8" s="672">
        <f>Y8+Y9+Y10+Y11+AA6+AA7+AA8+AA9</f>
        <v>16800</v>
      </c>
      <c r="BP8" s="30" t="s">
        <v>41</v>
      </c>
      <c r="BQ8" s="674">
        <f>SUM(AA8:AA9)</f>
        <v>4200</v>
      </c>
      <c r="BR8" s="12"/>
      <c r="BS8" s="28" t="s">
        <v>36</v>
      </c>
      <c r="BT8" s="29">
        <f>IF($BJ$6=$BO$8,BO8,0)</f>
        <v>0</v>
      </c>
      <c r="BU8" s="30" t="s">
        <v>41</v>
      </c>
      <c r="BV8" s="31">
        <f>IF($BJ$6=$BQ$8,BQ8,0)</f>
        <v>0</v>
      </c>
      <c r="BW8" s="1269"/>
      <c r="BX8" s="12"/>
      <c r="BY8" s="12"/>
      <c r="BZ8" s="28" t="s">
        <v>36</v>
      </c>
      <c r="CA8" s="29">
        <f t="shared" si="2"/>
        <v>0</v>
      </c>
      <c r="CB8" s="30" t="s">
        <v>41</v>
      </c>
      <c r="CC8" s="31">
        <f>IF(BV8=0,0,1)</f>
        <v>0</v>
      </c>
      <c r="CD8" s="12"/>
      <c r="CE8" s="28" t="s">
        <v>36</v>
      </c>
      <c r="CF8" s="29">
        <f t="shared" si="3"/>
        <v>0</v>
      </c>
      <c r="CG8" s="30" t="s">
        <v>41</v>
      </c>
      <c r="CH8" s="31">
        <f>IF(CC8=1,BQ8,0)</f>
        <v>0</v>
      </c>
      <c r="CI8" s="13"/>
    </row>
    <row r="9" spans="1:87" ht="30" customHeight="1" thickTop="1">
      <c r="A9" s="1350" t="s">
        <v>164</v>
      </c>
      <c r="B9" s="1347">
        <f>BD10+CG10</f>
        <v>0</v>
      </c>
      <c r="C9" s="1344" t="s">
        <v>6</v>
      </c>
      <c r="E9" s="665" t="s">
        <v>70</v>
      </c>
      <c r="F9" s="661">
        <f>'医療分・支援・子供・介護分（印刷））'!L353</f>
        <v>0</v>
      </c>
      <c r="G9" s="662" t="s">
        <v>6</v>
      </c>
      <c r="H9" s="82" t="s">
        <v>43</v>
      </c>
      <c r="I9" s="29">
        <f>IF($AE$1&gt;0,0,'医療分・支援・子供・介護分（印刷））'!X8)</f>
        <v>1560</v>
      </c>
      <c r="J9" s="30" t="s">
        <v>42</v>
      </c>
      <c r="K9" s="31">
        <f>IF($AE$1&gt;0,0,'医療分・支援・子供・介護分（印刷））'!Z8)</f>
        <v>1561</v>
      </c>
      <c r="L9" s="28" t="s">
        <v>43</v>
      </c>
      <c r="M9" s="29">
        <f>IF($AE$1&gt;0,0,'医療分・支援・子供・介護分（印刷））'!X97)</f>
        <v>540</v>
      </c>
      <c r="N9" s="30" t="s">
        <v>42</v>
      </c>
      <c r="O9" s="31">
        <f>IF($AE$1&gt;0,0,'医療分・支援・子供・介護分（印刷））'!Z97)</f>
        <v>539</v>
      </c>
      <c r="P9" s="28" t="s">
        <v>43</v>
      </c>
      <c r="Q9" s="29">
        <f>IF($AE$1&gt;0,0,'医療分・支援・子供・介護分（印刷））'!X185)</f>
        <v>0</v>
      </c>
      <c r="R9" s="30" t="s">
        <v>42</v>
      </c>
      <c r="S9" s="31">
        <f>IF($AE$1&gt;0,0,'医療分・支援・子供・介護分（印刷））'!Z185)</f>
        <v>0</v>
      </c>
      <c r="T9" s="28" t="s">
        <v>43</v>
      </c>
      <c r="U9" s="29">
        <f>IF($AE$1&gt;0,0,'医療分・支援・子供・介護分（印刷））'!X274)</f>
        <v>0</v>
      </c>
      <c r="V9" s="30" t="s">
        <v>42</v>
      </c>
      <c r="W9" s="31">
        <f>IF($AE$1&gt;0,0,'医療分・支援・子供・介護分（印刷））'!Z274)</f>
        <v>0</v>
      </c>
      <c r="X9" s="28" t="s">
        <v>43</v>
      </c>
      <c r="Y9" s="29">
        <f>I9+M9+Q9+U9</f>
        <v>2100</v>
      </c>
      <c r="Z9" s="133" t="s">
        <v>42</v>
      </c>
      <c r="AA9" s="31">
        <f t="shared" si="5"/>
        <v>2100</v>
      </c>
      <c r="AE9" s="257"/>
      <c r="AF9" s="12"/>
      <c r="AG9" s="1259"/>
      <c r="AH9" s="1259"/>
      <c r="AI9" s="1259"/>
      <c r="AJ9" s="12"/>
      <c r="AK9" s="671" t="s">
        <v>43</v>
      </c>
      <c r="AL9" s="672">
        <f>SUM(Y6:Y9)</f>
        <v>8800</v>
      </c>
      <c r="AM9" s="675" t="s">
        <v>93</v>
      </c>
      <c r="AN9" s="676">
        <f>Y6+Y7+Y8+Y9+Y10+Y11+AA6+AA7+AA8+AA9</f>
        <v>21400</v>
      </c>
      <c r="AO9" s="12"/>
      <c r="AP9" s="28" t="s">
        <v>43</v>
      </c>
      <c r="AQ9" s="29">
        <f>IF($AG$6=$AL$9,AL9,0)</f>
        <v>0</v>
      </c>
      <c r="AR9" s="133" t="s">
        <v>93</v>
      </c>
      <c r="AS9" s="31">
        <f>IF($AG$6=$AN$9,AN9,0)</f>
        <v>0</v>
      </c>
      <c r="AT9" s="1274"/>
      <c r="AU9" s="12"/>
      <c r="AV9" s="12"/>
      <c r="AW9" s="28" t="s">
        <v>43</v>
      </c>
      <c r="AX9" s="29">
        <f t="shared" si="0"/>
        <v>0</v>
      </c>
      <c r="AY9" s="133" t="s">
        <v>93</v>
      </c>
      <c r="AZ9" s="31">
        <f>IF(AS9=0,0,1)</f>
        <v>0</v>
      </c>
      <c r="BA9" s="12"/>
      <c r="BB9" s="28" t="s">
        <v>43</v>
      </c>
      <c r="BC9" s="29">
        <f t="shared" si="1"/>
        <v>0</v>
      </c>
      <c r="BD9" s="133" t="s">
        <v>93</v>
      </c>
      <c r="BE9" s="31">
        <f>IF(AZ9=1,AN9,0)</f>
        <v>0</v>
      </c>
      <c r="BG9" s="12"/>
      <c r="BH9" s="56"/>
      <c r="BI9" s="12"/>
      <c r="BJ9" s="1259"/>
      <c r="BK9" s="1259"/>
      <c r="BL9" s="1259"/>
      <c r="BM9" s="12"/>
      <c r="BN9" s="28" t="s">
        <v>43</v>
      </c>
      <c r="BO9" s="672">
        <f>Y9+Y10+Y11+AA6+AA7+AA8+AA9</f>
        <v>14700</v>
      </c>
      <c r="BP9" s="30" t="s">
        <v>42</v>
      </c>
      <c r="BQ9" s="676">
        <f>AA9</f>
        <v>2100</v>
      </c>
      <c r="BR9" s="12"/>
      <c r="BS9" s="28" t="s">
        <v>43</v>
      </c>
      <c r="BT9" s="29">
        <f>IF($BJ$6=$BO$9,BO9,0)</f>
        <v>0</v>
      </c>
      <c r="BU9" s="133" t="s">
        <v>93</v>
      </c>
      <c r="BV9" s="31">
        <f>IF($BJ$6=$BQ$9,BQ9,0)</f>
        <v>0</v>
      </c>
      <c r="BW9" s="1270"/>
      <c r="BX9" s="12"/>
      <c r="BY9" s="12"/>
      <c r="BZ9" s="28" t="s">
        <v>43</v>
      </c>
      <c r="CA9" s="29">
        <f t="shared" si="2"/>
        <v>0</v>
      </c>
      <c r="CB9" s="133" t="s">
        <v>93</v>
      </c>
      <c r="CC9" s="31">
        <f>IF(BV9=0,0,1)</f>
        <v>0</v>
      </c>
      <c r="CD9" s="12"/>
      <c r="CE9" s="28" t="s">
        <v>43</v>
      </c>
      <c r="CF9" s="29">
        <f t="shared" si="3"/>
        <v>0</v>
      </c>
      <c r="CG9" s="133" t="s">
        <v>93</v>
      </c>
      <c r="CH9" s="31">
        <f>IF(CC9=1,BQ9,0)</f>
        <v>0</v>
      </c>
      <c r="CI9" s="13"/>
    </row>
    <row r="10" spans="1:87" ht="30" customHeight="1">
      <c r="A10" s="1351"/>
      <c r="B10" s="1348"/>
      <c r="C10" s="1345"/>
      <c r="E10" s="1283" t="s">
        <v>75</v>
      </c>
      <c r="F10" s="1370">
        <f>F6+F7+F8+F9</f>
        <v>21400</v>
      </c>
      <c r="G10" s="1368" t="s">
        <v>6</v>
      </c>
      <c r="H10" s="82" t="s">
        <v>37</v>
      </c>
      <c r="I10" s="29">
        <f>IF($AE$1&gt;0,0,'医療分・支援・子供・介護分（印刷））'!X9)</f>
        <v>1560</v>
      </c>
      <c r="J10" s="1253" t="s">
        <v>44</v>
      </c>
      <c r="K10" s="1357">
        <f>IF(AE1&gt;0,0,'医療分・支援・子供・介護分（印刷））'!Z9)</f>
        <v>15900</v>
      </c>
      <c r="L10" s="28" t="s">
        <v>37</v>
      </c>
      <c r="M10" s="29">
        <f>IF($AE$1&gt;0,0,'医療分・支援・子供・介護分（印刷））'!X98)</f>
        <v>540</v>
      </c>
      <c r="N10" s="1253" t="s">
        <v>44</v>
      </c>
      <c r="O10" s="1357">
        <f>IF($AE$1&gt;0,0,'医療分・支援・子供・介護分（印刷））'!Z98)</f>
        <v>5500</v>
      </c>
      <c r="P10" s="28" t="s">
        <v>37</v>
      </c>
      <c r="Q10" s="29">
        <f>IF($AE$1&gt;0,0,'医療分・支援・子供・介護分（印刷））'!X186)</f>
        <v>0</v>
      </c>
      <c r="R10" s="1253" t="s">
        <v>44</v>
      </c>
      <c r="S10" s="1357">
        <f>IF(AE1&gt;0,0,'医療分・支援・子供・介護分（印刷））'!Z186)</f>
        <v>0</v>
      </c>
      <c r="T10" s="28" t="s">
        <v>37</v>
      </c>
      <c r="U10" s="29">
        <f>IF($AE$1&gt;0,0,'医療分・支援・子供・介護分（印刷））'!X275)</f>
        <v>0</v>
      </c>
      <c r="V10" s="1253" t="s">
        <v>44</v>
      </c>
      <c r="W10" s="1357">
        <f>IF(AE1&gt;0,0,'医療分・支援・子供・介護分（印刷））'!Z275)</f>
        <v>0</v>
      </c>
      <c r="X10" s="28" t="s">
        <v>37</v>
      </c>
      <c r="Y10" s="29">
        <f t="shared" si="4"/>
        <v>2100</v>
      </c>
      <c r="Z10" s="1253" t="s">
        <v>44</v>
      </c>
      <c r="AA10" s="1366">
        <f>K10+O10+S10+W10</f>
        <v>21400</v>
      </c>
      <c r="AC10" s="681" t="str">
        <f>IF(AA10=F10,"ＯＫ","ｱﾝﾏｯﾁ")</f>
        <v>ＯＫ</v>
      </c>
      <c r="AE10" s="56"/>
      <c r="AF10" s="12"/>
      <c r="AG10" s="1251"/>
      <c r="AH10" s="1252"/>
      <c r="AI10" s="50"/>
      <c r="AJ10" s="12"/>
      <c r="AK10" s="671" t="s">
        <v>37</v>
      </c>
      <c r="AL10" s="677">
        <f>SUM(Y6:Y10)</f>
        <v>10900</v>
      </c>
      <c r="AM10" s="1372"/>
      <c r="AN10" s="1366"/>
      <c r="AO10" s="12"/>
      <c r="AP10" s="28" t="s">
        <v>37</v>
      </c>
      <c r="AQ10" s="29">
        <f>IF($AG$6=$AL$10,AL10,0)</f>
        <v>0</v>
      </c>
      <c r="AR10" s="1247">
        <f>AQ6+AQ7+AQ8+AQ9+AQ10+AQ11+AS6+AS7+AS8+AS9</f>
        <v>0</v>
      </c>
      <c r="AS10" s="1248"/>
      <c r="AT10" s="1257">
        <f>IF(AL6=0,"－",IF(AR10&lt;AG6,"エラー",0))</f>
        <v>0</v>
      </c>
      <c r="AU10" s="1257">
        <f>IF(AT10="エラー",1,0)</f>
        <v>0</v>
      </c>
      <c r="AV10" s="12"/>
      <c r="AW10" s="28" t="s">
        <v>37</v>
      </c>
      <c r="AX10" s="29">
        <f t="shared" si="0"/>
        <v>0</v>
      </c>
      <c r="AY10" s="1247"/>
      <c r="AZ10" s="1248"/>
      <c r="BA10" s="12"/>
      <c r="BB10" s="28" t="s">
        <v>37</v>
      </c>
      <c r="BC10" s="29">
        <f t="shared" si="1"/>
        <v>0</v>
      </c>
      <c r="BD10" s="1247">
        <f>BC6+BC7+BC8+BC9+BC10+BC11+BE6+BE7+BE8+BE9</f>
        <v>0</v>
      </c>
      <c r="BE10" s="1248"/>
      <c r="BG10" s="12"/>
      <c r="BH10" s="56"/>
      <c r="BI10" s="12"/>
      <c r="BJ10" s="1251"/>
      <c r="BK10" s="1252"/>
      <c r="BL10" s="50"/>
      <c r="BM10" s="12"/>
      <c r="BN10" s="28" t="s">
        <v>37</v>
      </c>
      <c r="BO10" s="677">
        <f>Y10+Y11+AA6+AA7+AA8+AA9</f>
        <v>12600</v>
      </c>
      <c r="BP10" s="1253"/>
      <c r="BQ10" s="1255"/>
      <c r="BR10" s="12"/>
      <c r="BS10" s="28" t="s">
        <v>37</v>
      </c>
      <c r="BT10" s="29">
        <f>IF($BJ$6=$BO$10,BO10,0)</f>
        <v>0</v>
      </c>
      <c r="BU10" s="1247">
        <f>BT6+BT7+BT8+BT9+BT10+BT11+BV6+BV7+BV8+BV9</f>
        <v>0</v>
      </c>
      <c r="BV10" s="1248"/>
      <c r="BW10" s="1265">
        <f>IF(BO6=0,"－",IF(BU10&lt;BJ6,"エラー",0))</f>
        <v>0</v>
      </c>
      <c r="BX10" s="1257">
        <f>IF(BW10="エラー",1,0)</f>
        <v>0</v>
      </c>
      <c r="BY10" s="12"/>
      <c r="BZ10" s="28" t="s">
        <v>37</v>
      </c>
      <c r="CA10" s="29">
        <f t="shared" si="2"/>
        <v>0</v>
      </c>
      <c r="CB10" s="1247"/>
      <c r="CC10" s="1248"/>
      <c r="CD10" s="12"/>
      <c r="CE10" s="28" t="s">
        <v>37</v>
      </c>
      <c r="CF10" s="29">
        <f t="shared" si="3"/>
        <v>0</v>
      </c>
      <c r="CG10" s="1247">
        <f>CF6+CF7+CF8+CF9+CF10+CF11+CH6+CH7+CH8+CH9</f>
        <v>0</v>
      </c>
      <c r="CH10" s="1248"/>
      <c r="CI10" s="13"/>
    </row>
    <row r="11" spans="1:87" ht="30" customHeight="1" thickBot="1">
      <c r="A11" s="1352"/>
      <c r="B11" s="1349"/>
      <c r="C11" s="1346"/>
      <c r="E11" s="1284"/>
      <c r="F11" s="1371"/>
      <c r="G11" s="1369"/>
      <c r="H11" s="128" t="s">
        <v>38</v>
      </c>
      <c r="I11" s="66">
        <f>IF($AE$1&gt;0,0,'医療分・支援・子供・介護分（印刷））'!X10)</f>
        <v>1560</v>
      </c>
      <c r="J11" s="1254"/>
      <c r="K11" s="1358"/>
      <c r="L11" s="65" t="s">
        <v>38</v>
      </c>
      <c r="M11" s="66">
        <f>IF($AE$1&gt;0,0,'医療分・支援・子供・介護分（印刷））'!X99)</f>
        <v>540</v>
      </c>
      <c r="N11" s="1254"/>
      <c r="O11" s="1358"/>
      <c r="P11" s="65" t="s">
        <v>38</v>
      </c>
      <c r="Q11" s="66">
        <f>IF($AE$1&gt;0,0,'医療分・支援・子供・介護分（印刷））'!X187)</f>
        <v>0</v>
      </c>
      <c r="R11" s="1254"/>
      <c r="S11" s="1358"/>
      <c r="T11" s="65" t="s">
        <v>38</v>
      </c>
      <c r="U11" s="66">
        <f>IF($AE$1&gt;0,0,'医療分・支援・子供・介護分（印刷））'!X276)</f>
        <v>0</v>
      </c>
      <c r="V11" s="1254"/>
      <c r="W11" s="1358"/>
      <c r="X11" s="65" t="s">
        <v>38</v>
      </c>
      <c r="Y11" s="66">
        <f>I11+M11+Q11+U11</f>
        <v>2100</v>
      </c>
      <c r="Z11" s="1254"/>
      <c r="AA11" s="1367"/>
      <c r="AC11" s="271" t="str">
        <f>IF(F14+F22+F30+F38+F46+F54+F62=F10,"ＯＫ","ｱﾝﾏｯﾁ")</f>
        <v>ＯＫ</v>
      </c>
      <c r="AE11" s="56"/>
      <c r="AF11" s="12"/>
      <c r="AG11" s="12"/>
      <c r="AH11" s="12"/>
      <c r="AI11" s="12"/>
      <c r="AJ11" s="12"/>
      <c r="AK11" s="678" t="s">
        <v>38</v>
      </c>
      <c r="AL11" s="679">
        <f>SUM(Y6:Y11)</f>
        <v>13000</v>
      </c>
      <c r="AM11" s="1373"/>
      <c r="AN11" s="1367"/>
      <c r="AO11" s="12"/>
      <c r="AP11" s="65" t="s">
        <v>38</v>
      </c>
      <c r="AQ11" s="66">
        <f>IF($AG$6=$AL$11,AL11,0)</f>
        <v>0</v>
      </c>
      <c r="AR11" s="1249"/>
      <c r="AS11" s="1250"/>
      <c r="AT11" s="1258"/>
      <c r="AU11" s="1258"/>
      <c r="AV11" s="12"/>
      <c r="AW11" s="65" t="s">
        <v>38</v>
      </c>
      <c r="AX11" s="66">
        <f t="shared" si="0"/>
        <v>0</v>
      </c>
      <c r="AY11" s="1249"/>
      <c r="AZ11" s="1250"/>
      <c r="BA11" s="12"/>
      <c r="BB11" s="65" t="s">
        <v>38</v>
      </c>
      <c r="BC11" s="66">
        <f t="shared" si="1"/>
        <v>0</v>
      </c>
      <c r="BD11" s="1249"/>
      <c r="BE11" s="1250"/>
      <c r="BG11" s="12"/>
      <c r="BH11" s="56"/>
      <c r="BI11" s="12"/>
      <c r="BJ11" s="12"/>
      <c r="BK11" s="12"/>
      <c r="BL11" s="12"/>
      <c r="BM11" s="12"/>
      <c r="BN11" s="65" t="s">
        <v>38</v>
      </c>
      <c r="BO11" s="679">
        <f>Y11+AA6+AA7+AA8+AA9</f>
        <v>10500</v>
      </c>
      <c r="BP11" s="1254"/>
      <c r="BQ11" s="1256"/>
      <c r="BR11" s="12"/>
      <c r="BS11" s="65" t="s">
        <v>38</v>
      </c>
      <c r="BT11" s="66">
        <f>IF($BJ$6=$BO$11,BO11,0)</f>
        <v>0</v>
      </c>
      <c r="BU11" s="1249"/>
      <c r="BV11" s="1250"/>
      <c r="BW11" s="1266"/>
      <c r="BX11" s="1258"/>
      <c r="BY11" s="12"/>
      <c r="BZ11" s="65" t="s">
        <v>38</v>
      </c>
      <c r="CA11" s="66">
        <f t="shared" si="2"/>
        <v>0</v>
      </c>
      <c r="CB11" s="1249"/>
      <c r="CC11" s="1250"/>
      <c r="CD11" s="12"/>
      <c r="CE11" s="65" t="s">
        <v>38</v>
      </c>
      <c r="CF11" s="66">
        <f t="shared" si="3"/>
        <v>0</v>
      </c>
      <c r="CG11" s="1249"/>
      <c r="CH11" s="1250"/>
      <c r="CI11" s="13"/>
    </row>
    <row r="12" spans="1:87" ht="15.75" thickTop="1">
      <c r="E12" s="1364" t="s">
        <v>74</v>
      </c>
      <c r="F12" s="1364"/>
      <c r="G12" s="1364"/>
      <c r="H12" s="1365"/>
      <c r="I12" s="1365"/>
      <c r="J12" s="1365"/>
      <c r="K12" s="1365"/>
      <c r="L12" s="1365"/>
      <c r="M12" s="1365"/>
      <c r="N12" s="1365"/>
      <c r="O12" s="1365"/>
      <c r="P12" s="1365"/>
      <c r="Q12" s="1365"/>
      <c r="R12" s="1365"/>
      <c r="S12" s="1365"/>
      <c r="T12" s="1365"/>
      <c r="U12" s="1365"/>
      <c r="V12" s="1365"/>
      <c r="W12" s="1365"/>
      <c r="X12" s="1365"/>
      <c r="Y12" s="1365"/>
      <c r="Z12" s="1364"/>
      <c r="AA12" s="1364"/>
      <c r="AE12" s="56"/>
      <c r="AF12" s="12"/>
      <c r="AG12" s="12"/>
      <c r="AH12" s="12"/>
      <c r="AI12" s="12"/>
      <c r="AJ12" s="12"/>
      <c r="AK12" s="680"/>
      <c r="AL12" s="680"/>
      <c r="AM12" s="680"/>
      <c r="AN12" s="680"/>
      <c r="AO12" s="12"/>
      <c r="AP12" s="12"/>
      <c r="AQ12" s="12"/>
      <c r="AR12" s="12"/>
      <c r="AS12" s="12"/>
      <c r="AT12" s="12"/>
      <c r="AU12" s="12"/>
      <c r="AV12" s="12"/>
      <c r="AW12" s="12"/>
      <c r="AX12" s="12"/>
      <c r="AY12" s="12"/>
      <c r="AZ12" s="12"/>
      <c r="BA12" s="12"/>
      <c r="BB12" s="12"/>
      <c r="BC12" s="12"/>
      <c r="BD12" s="12"/>
      <c r="BE12" s="12"/>
      <c r="BG12" s="12"/>
      <c r="BH12" s="56"/>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3"/>
    </row>
    <row r="13" spans="1:87" ht="28.5" customHeight="1">
      <c r="A13" s="1311" t="s">
        <v>151</v>
      </c>
      <c r="B13" s="1308" t="s">
        <v>77</v>
      </c>
      <c r="C13" s="1308"/>
      <c r="D13" s="1308"/>
      <c r="E13" s="1330" t="s">
        <v>82</v>
      </c>
      <c r="F13" s="1331"/>
      <c r="G13" s="1332"/>
      <c r="H13" s="1277" t="s">
        <v>69</v>
      </c>
      <c r="I13" s="1278"/>
      <c r="J13" s="1278"/>
      <c r="K13" s="1279"/>
      <c r="L13" s="1277" t="s">
        <v>159</v>
      </c>
      <c r="M13" s="1278"/>
      <c r="N13" s="1278"/>
      <c r="O13" s="1279"/>
      <c r="P13" s="1277" t="s">
        <v>409</v>
      </c>
      <c r="Q13" s="1278"/>
      <c r="R13" s="1278"/>
      <c r="S13" s="1279"/>
      <c r="T13" s="1277" t="s">
        <v>70</v>
      </c>
      <c r="U13" s="1278"/>
      <c r="V13" s="1278"/>
      <c r="W13" s="1279"/>
      <c r="X13" s="1277" t="s">
        <v>76</v>
      </c>
      <c r="Y13" s="1278"/>
      <c r="Z13" s="1278"/>
      <c r="AA13" s="1279"/>
      <c r="AE13" s="56"/>
      <c r="AF13" s="12"/>
      <c r="AG13" s="12"/>
      <c r="AH13" s="12"/>
      <c r="AI13" s="12"/>
      <c r="AJ13" s="12"/>
      <c r="AK13" s="1374" t="s">
        <v>94</v>
      </c>
      <c r="AL13" s="1375"/>
      <c r="AM13" s="1375"/>
      <c r="AN13" s="1376"/>
      <c r="AO13" s="12"/>
      <c r="AP13" s="1260" t="s">
        <v>95</v>
      </c>
      <c r="AQ13" s="1261"/>
      <c r="AR13" s="1261"/>
      <c r="AS13" s="1262"/>
      <c r="AT13" s="12"/>
      <c r="AU13" s="12"/>
      <c r="AV13" s="12"/>
      <c r="AW13" s="1260" t="s">
        <v>98</v>
      </c>
      <c r="AX13" s="1261"/>
      <c r="AY13" s="1261"/>
      <c r="AZ13" s="1262"/>
      <c r="BA13" s="12"/>
      <c r="BB13" s="1260" t="s">
        <v>98</v>
      </c>
      <c r="BC13" s="1261"/>
      <c r="BD13" s="1261"/>
      <c r="BE13" s="1262"/>
      <c r="BG13" s="12"/>
      <c r="BH13" s="56"/>
      <c r="BI13" s="12"/>
      <c r="BJ13" s="12"/>
      <c r="BK13" s="12"/>
      <c r="BL13" s="12"/>
      <c r="BM13" s="12"/>
      <c r="BN13" s="1260" t="s">
        <v>101</v>
      </c>
      <c r="BO13" s="1261"/>
      <c r="BP13" s="1261"/>
      <c r="BQ13" s="1262"/>
      <c r="BR13" s="12"/>
      <c r="BS13" s="1260" t="s">
        <v>95</v>
      </c>
      <c r="BT13" s="1261"/>
      <c r="BU13" s="1261"/>
      <c r="BV13" s="1262"/>
      <c r="BW13" s="12"/>
      <c r="BX13" s="12"/>
      <c r="BY13" s="12"/>
      <c r="BZ13" s="1260" t="s">
        <v>98</v>
      </c>
      <c r="CA13" s="1261"/>
      <c r="CB13" s="1261"/>
      <c r="CC13" s="1262"/>
      <c r="CD13" s="12"/>
      <c r="CE13" s="1260" t="s">
        <v>98</v>
      </c>
      <c r="CF13" s="1261"/>
      <c r="CG13" s="1261"/>
      <c r="CH13" s="1262"/>
      <c r="CI13" s="13"/>
    </row>
    <row r="14" spans="1:87" ht="23.25" customHeight="1">
      <c r="A14" s="1312"/>
      <c r="B14" s="1359">
        <f>入力画面!C12</f>
        <v>1</v>
      </c>
      <c r="C14" s="1360"/>
      <c r="D14" s="1309" t="str">
        <f>IF(F14&gt;0,"様",0)</f>
        <v>様</v>
      </c>
      <c r="E14" s="1321" t="s">
        <v>75</v>
      </c>
      <c r="F14" s="1323">
        <f>IF(AE1&gt;0,0,'医療分・支援・子供・介護分（印刷））'!U20+'医療分・支援・子供・介護分（印刷））'!U109+'医療分・支援・子供・介護分（印刷））'!U197+'医療分・支援・子供・介護分（印刷））'!U286)</f>
        <v>21400</v>
      </c>
      <c r="G14" s="1325" t="s">
        <v>6</v>
      </c>
      <c r="H14" s="28" t="s">
        <v>34</v>
      </c>
      <c r="I14" s="29">
        <f>IF($AE$1&gt;0,0,'医療分・支援・子供・介護分（印刷））'!X16)</f>
        <v>1857</v>
      </c>
      <c r="J14" s="30" t="s">
        <v>39</v>
      </c>
      <c r="K14" s="29">
        <f>IF($AE$1&gt;0,0,'医療分・支援・子供・介護分（印刷））'!Z16)</f>
        <v>1560</v>
      </c>
      <c r="L14" s="28" t="s">
        <v>34</v>
      </c>
      <c r="M14" s="29">
        <f>IF($AE$1&gt;0,0,'医療分・支援・子供・介護分（印刷））'!X105)</f>
        <v>643</v>
      </c>
      <c r="N14" s="30" t="s">
        <v>39</v>
      </c>
      <c r="O14" s="29">
        <f>IF($AE$1&gt;0,0,'医療分・支援・子供・介護分（印刷））'!Z105)</f>
        <v>540</v>
      </c>
      <c r="P14" s="28" t="s">
        <v>34</v>
      </c>
      <c r="Q14" s="29">
        <f>IF($AE$1&gt;0,0,'医療分・支援・子供・介護分（印刷））'!X193)</f>
        <v>0</v>
      </c>
      <c r="R14" s="30" t="s">
        <v>39</v>
      </c>
      <c r="S14" s="31">
        <f>IF($AE$1&gt;0,0,'医療分・支援・子供・介護分（印刷））'!Z193)</f>
        <v>0</v>
      </c>
      <c r="T14" s="28" t="s">
        <v>34</v>
      </c>
      <c r="U14" s="29">
        <f>IF($AE$1&gt;0,0,'医療分・支援・子供・介護分（印刷））'!X282)</f>
        <v>0</v>
      </c>
      <c r="V14" s="30" t="s">
        <v>39</v>
      </c>
      <c r="W14" s="31">
        <f>IF($AE$1&gt;0,0,'医療分・支援・子供・介護分（印刷））'!Z282)</f>
        <v>0</v>
      </c>
      <c r="X14" s="258" t="s">
        <v>34</v>
      </c>
      <c r="Y14" s="259">
        <f>I14+M14+Q14+U14</f>
        <v>2500</v>
      </c>
      <c r="Z14" s="260" t="s">
        <v>39</v>
      </c>
      <c r="AA14" s="261">
        <f>K14+O14+S14+W14</f>
        <v>2100</v>
      </c>
      <c r="AE14" s="56"/>
      <c r="AF14" s="50"/>
      <c r="AG14" s="1263"/>
      <c r="AH14" s="1264"/>
      <c r="AI14" s="50"/>
      <c r="AJ14" s="12"/>
      <c r="AK14" s="671" t="s">
        <v>34</v>
      </c>
      <c r="AL14" s="672">
        <f>Y14</f>
        <v>2500</v>
      </c>
      <c r="AM14" s="673" t="s">
        <v>39</v>
      </c>
      <c r="AN14" s="674">
        <f>Y14+Y15+Y16+Y17+Y18+Y19+AA14</f>
        <v>15100</v>
      </c>
      <c r="AO14" s="12"/>
      <c r="AP14" s="28" t="s">
        <v>34</v>
      </c>
      <c r="AQ14" s="29">
        <f>IF($AG$6=$AL$6,AL14,0)</f>
        <v>0</v>
      </c>
      <c r="AR14" s="30" t="s">
        <v>39</v>
      </c>
      <c r="AS14" s="31">
        <f>IF($AG$6=$AN$6,AN14,0)</f>
        <v>0</v>
      </c>
      <c r="AT14" s="12"/>
      <c r="AU14" s="12"/>
      <c r="AV14" s="12"/>
      <c r="AW14" s="28" t="s">
        <v>34</v>
      </c>
      <c r="AX14" s="29">
        <f t="shared" ref="AX14:AX19" si="6">AX6</f>
        <v>0</v>
      </c>
      <c r="AY14" s="30" t="s">
        <v>39</v>
      </c>
      <c r="AZ14" s="31">
        <f>AZ6</f>
        <v>0</v>
      </c>
      <c r="BA14" s="12"/>
      <c r="BB14" s="28" t="s">
        <v>34</v>
      </c>
      <c r="BC14" s="29">
        <f t="shared" ref="BC14:BC19" si="7">IF(AX14=1,AL14,0)</f>
        <v>0</v>
      </c>
      <c r="BD14" s="30" t="s">
        <v>39</v>
      </c>
      <c r="BE14" s="31">
        <f>IF(AZ14=1,AN14,0)</f>
        <v>0</v>
      </c>
      <c r="BG14" s="12"/>
      <c r="BH14" s="56"/>
      <c r="BI14" s="50"/>
      <c r="BJ14" s="1263"/>
      <c r="BK14" s="1264"/>
      <c r="BL14" s="50"/>
      <c r="BM14" s="12"/>
      <c r="BN14" s="28" t="s">
        <v>34</v>
      </c>
      <c r="BO14" s="672">
        <f>Y14+Y15+Y16+Y17+Y18+Y19+AA14+AA15+AA16+AA17</f>
        <v>21400</v>
      </c>
      <c r="BP14" s="30" t="s">
        <v>39</v>
      </c>
      <c r="BQ14" s="674">
        <f>SUM(AA14:AA17)</f>
        <v>8400</v>
      </c>
      <c r="BR14" s="12"/>
      <c r="BS14" s="28" t="s">
        <v>34</v>
      </c>
      <c r="BT14" s="29">
        <f>IF($BJ$6=$BO$6,BO14,0)</f>
        <v>0</v>
      </c>
      <c r="BU14" s="30" t="s">
        <v>39</v>
      </c>
      <c r="BV14" s="31">
        <f>IF($BJ$6=$BQ$6,BQ14,0)</f>
        <v>0</v>
      </c>
      <c r="BW14" s="12"/>
      <c r="BX14" s="12"/>
      <c r="BY14" s="12"/>
      <c r="BZ14" s="28" t="s">
        <v>34</v>
      </c>
      <c r="CA14" s="29">
        <f t="shared" ref="CA14:CA19" si="8">CA6</f>
        <v>0</v>
      </c>
      <c r="CB14" s="30" t="s">
        <v>39</v>
      </c>
      <c r="CC14" s="31">
        <f>CC6</f>
        <v>0</v>
      </c>
      <c r="CD14" s="12"/>
      <c r="CE14" s="28" t="s">
        <v>34</v>
      </c>
      <c r="CF14" s="29">
        <f t="shared" ref="CF14:CF19" si="9">IF(CA14=1,BO14,0)</f>
        <v>0</v>
      </c>
      <c r="CG14" s="30" t="s">
        <v>39</v>
      </c>
      <c r="CH14" s="31">
        <f>IF(CC14=1,BQ14,0)</f>
        <v>0</v>
      </c>
      <c r="CI14" s="13"/>
    </row>
    <row r="15" spans="1:87" ht="23.25" customHeight="1">
      <c r="A15" s="1312"/>
      <c r="B15" s="1361"/>
      <c r="C15" s="1362"/>
      <c r="D15" s="1310"/>
      <c r="E15" s="1322"/>
      <c r="F15" s="1363"/>
      <c r="G15" s="1326"/>
      <c r="H15" s="28" t="s">
        <v>35</v>
      </c>
      <c r="I15" s="29">
        <f>IF($AE$1&gt;0,0,'医療分・支援・子供・介護分（印刷））'!X17)</f>
        <v>1560</v>
      </c>
      <c r="J15" s="30" t="s">
        <v>40</v>
      </c>
      <c r="K15" s="29">
        <f>IF($AE$1&gt;0,0,'医療分・支援・子供・介護分（印刷））'!Z17)</f>
        <v>1561</v>
      </c>
      <c r="L15" s="28" t="s">
        <v>35</v>
      </c>
      <c r="M15" s="29">
        <f>IF($AE$1&gt;0,0,'医療分・支援・子供・介護分（印刷））'!X106)</f>
        <v>540</v>
      </c>
      <c r="N15" s="30" t="s">
        <v>40</v>
      </c>
      <c r="O15" s="29">
        <f>IF($AE$1&gt;0,0,'医療分・支援・子供・介護分（印刷））'!Z106)</f>
        <v>539</v>
      </c>
      <c r="P15" s="28" t="s">
        <v>35</v>
      </c>
      <c r="Q15" s="29">
        <f>IF($AE$1&gt;0,0,'医療分・支援・子供・介護分（印刷））'!X194)</f>
        <v>0</v>
      </c>
      <c r="R15" s="30" t="s">
        <v>40</v>
      </c>
      <c r="S15" s="31">
        <f>IF($AE$1&gt;0,0,'医療分・支援・子供・介護分（印刷））'!Z194)</f>
        <v>0</v>
      </c>
      <c r="T15" s="28" t="s">
        <v>35</v>
      </c>
      <c r="U15" s="29">
        <f>IF($AE$1&gt;0,0,'医療分・支援・子供・介護分（印刷））'!X283)</f>
        <v>0</v>
      </c>
      <c r="V15" s="30" t="s">
        <v>40</v>
      </c>
      <c r="W15" s="31">
        <f>IF($AE$1&gt;0,0,'医療分・支援・子供・介護分（印刷））'!Z283)</f>
        <v>0</v>
      </c>
      <c r="X15" s="262" t="s">
        <v>35</v>
      </c>
      <c r="Y15" s="125">
        <f>I15+M15+Q15+U15</f>
        <v>2100</v>
      </c>
      <c r="Z15" s="126" t="s">
        <v>40</v>
      </c>
      <c r="AA15" s="127">
        <f t="shared" ref="AA15:AA17" si="10">K15+O15+S15+W15</f>
        <v>2100</v>
      </c>
      <c r="AE15" s="56"/>
      <c r="AF15" s="12"/>
      <c r="AG15" s="1251"/>
      <c r="AH15" s="1252"/>
      <c r="AI15" s="50"/>
      <c r="AJ15" s="12"/>
      <c r="AK15" s="671" t="s">
        <v>35</v>
      </c>
      <c r="AL15" s="672">
        <f>SUM(Y14:Y15)</f>
        <v>4600</v>
      </c>
      <c r="AM15" s="673" t="s">
        <v>40</v>
      </c>
      <c r="AN15" s="674">
        <f>Y14+Y15+Y16+Y17+Y18+Y19+AA14+AA15</f>
        <v>17200</v>
      </c>
      <c r="AO15" s="12"/>
      <c r="AP15" s="28" t="s">
        <v>35</v>
      </c>
      <c r="AQ15" s="29">
        <f>IF($AG$6=$AL$7,AL15,0)</f>
        <v>0</v>
      </c>
      <c r="AR15" s="30" t="s">
        <v>40</v>
      </c>
      <c r="AS15" s="31">
        <f>IF($AG$6=$AN$7,AN15,0)</f>
        <v>0</v>
      </c>
      <c r="AT15" s="12"/>
      <c r="AU15" s="12"/>
      <c r="AV15" s="12"/>
      <c r="AW15" s="28" t="s">
        <v>35</v>
      </c>
      <c r="AX15" s="29">
        <f t="shared" si="6"/>
        <v>0</v>
      </c>
      <c r="AY15" s="30" t="s">
        <v>40</v>
      </c>
      <c r="AZ15" s="31">
        <f>AZ7</f>
        <v>0</v>
      </c>
      <c r="BA15" s="12"/>
      <c r="BB15" s="28" t="s">
        <v>35</v>
      </c>
      <c r="BC15" s="29">
        <f t="shared" si="7"/>
        <v>0</v>
      </c>
      <c r="BD15" s="30" t="s">
        <v>40</v>
      </c>
      <c r="BE15" s="31">
        <f>IF(AZ15=1,AN15,0)</f>
        <v>0</v>
      </c>
      <c r="BG15" s="12"/>
      <c r="BH15" s="56"/>
      <c r="BI15" s="12"/>
      <c r="BJ15" s="1251"/>
      <c r="BK15" s="1252"/>
      <c r="BL15" s="50"/>
      <c r="BM15" s="12"/>
      <c r="BN15" s="28" t="s">
        <v>35</v>
      </c>
      <c r="BO15" s="672">
        <f>Y15+Y16+Y17+Y18+Y19+AA14+AA15+AA16+AA17</f>
        <v>18900</v>
      </c>
      <c r="BP15" s="30" t="s">
        <v>40</v>
      </c>
      <c r="BQ15" s="674">
        <f>SUM(AA15:AA17)</f>
        <v>6300</v>
      </c>
      <c r="BR15" s="12"/>
      <c r="BS15" s="28" t="s">
        <v>35</v>
      </c>
      <c r="BT15" s="29">
        <f>IF($BJ$6=$BO$7,BO15,0)</f>
        <v>0</v>
      </c>
      <c r="BU15" s="30" t="s">
        <v>40</v>
      </c>
      <c r="BV15" s="31">
        <f>IF($BJ$6=$BQ$7,BQ15,0)</f>
        <v>0</v>
      </c>
      <c r="BW15" s="12"/>
      <c r="BX15" s="12"/>
      <c r="BY15" s="12"/>
      <c r="BZ15" s="28" t="s">
        <v>35</v>
      </c>
      <c r="CA15" s="29">
        <f t="shared" si="8"/>
        <v>0</v>
      </c>
      <c r="CB15" s="30" t="s">
        <v>40</v>
      </c>
      <c r="CC15" s="31">
        <f>CC7</f>
        <v>0</v>
      </c>
      <c r="CD15" s="12"/>
      <c r="CE15" s="28" t="s">
        <v>35</v>
      </c>
      <c r="CF15" s="29">
        <f t="shared" si="9"/>
        <v>0</v>
      </c>
      <c r="CG15" s="30" t="s">
        <v>40</v>
      </c>
      <c r="CH15" s="31">
        <f>IF(CC15=1,BQ15,0)</f>
        <v>0</v>
      </c>
      <c r="CI15" s="13"/>
    </row>
    <row r="16" spans="1:87" ht="23.25" customHeight="1">
      <c r="A16" s="1299">
        <f>入力画面!$L$9</f>
        <v>0</v>
      </c>
      <c r="B16" s="1300"/>
      <c r="C16" s="1300"/>
      <c r="D16" s="1301"/>
      <c r="E16" s="1297" t="s">
        <v>97</v>
      </c>
      <c r="F16" s="1327">
        <f>BD18+CG18</f>
        <v>0</v>
      </c>
      <c r="G16" s="1329" t="s">
        <v>6</v>
      </c>
      <c r="H16" s="28" t="s">
        <v>36</v>
      </c>
      <c r="I16" s="29">
        <f>IF($AE$1&gt;0,0,'医療分・支援・子供・介護分（印刷））'!X18)</f>
        <v>1560</v>
      </c>
      <c r="J16" s="30" t="s">
        <v>41</v>
      </c>
      <c r="K16" s="29">
        <f>IF($AE$1&gt;0,0,'医療分・支援・子供・介護分（印刷））'!Z18)</f>
        <v>1561</v>
      </c>
      <c r="L16" s="28" t="s">
        <v>36</v>
      </c>
      <c r="M16" s="29">
        <f>IF($AE$1&gt;0,0,'医療分・支援・子供・介護分（印刷））'!X107)</f>
        <v>540</v>
      </c>
      <c r="N16" s="30" t="s">
        <v>41</v>
      </c>
      <c r="O16" s="29">
        <f>IF($AE$1&gt;0,0,'医療分・支援・子供・介護分（印刷））'!Z107)</f>
        <v>539</v>
      </c>
      <c r="P16" s="28" t="s">
        <v>36</v>
      </c>
      <c r="Q16" s="29">
        <f>IF($AE$1&gt;0,0,'医療分・支援・子供・介護分（印刷））'!X195)</f>
        <v>0</v>
      </c>
      <c r="R16" s="30" t="s">
        <v>41</v>
      </c>
      <c r="S16" s="31">
        <f>IF($AE$1&gt;0,0,'医療分・支援・子供・介護分（印刷））'!Z195)</f>
        <v>0</v>
      </c>
      <c r="T16" s="28" t="s">
        <v>36</v>
      </c>
      <c r="U16" s="29">
        <f>IF($AE$1&gt;0,0,'医療分・支援・子供・介護分（印刷））'!X284)</f>
        <v>0</v>
      </c>
      <c r="V16" s="30" t="s">
        <v>41</v>
      </c>
      <c r="W16" s="31">
        <f>IF($AE$1&gt;0,0,'医療分・支援・子供・介護分（印刷））'!Z284)</f>
        <v>0</v>
      </c>
      <c r="X16" s="262" t="s">
        <v>36</v>
      </c>
      <c r="Y16" s="125">
        <f t="shared" ref="Y16:Y19" si="11">I16+M16+Q16+U16</f>
        <v>2100</v>
      </c>
      <c r="Z16" s="126" t="s">
        <v>41</v>
      </c>
      <c r="AA16" s="127">
        <f t="shared" si="10"/>
        <v>2100</v>
      </c>
      <c r="AE16" s="56"/>
      <c r="AF16" s="12"/>
      <c r="AG16" s="1251"/>
      <c r="AH16" s="1252"/>
      <c r="AI16" s="50"/>
      <c r="AJ16" s="12"/>
      <c r="AK16" s="671" t="s">
        <v>36</v>
      </c>
      <c r="AL16" s="672">
        <f>SUM(Y14:Y16)</f>
        <v>6700</v>
      </c>
      <c r="AM16" s="673" t="s">
        <v>41</v>
      </c>
      <c r="AN16" s="674">
        <f>Y14+Y15+Y16+Y17+Y18+Y19+AA14+AA15+AA16</f>
        <v>19300</v>
      </c>
      <c r="AO16" s="12"/>
      <c r="AP16" s="28" t="s">
        <v>36</v>
      </c>
      <c r="AQ16" s="29">
        <f>IF($AG$6=$AL$8,AL16,0)</f>
        <v>0</v>
      </c>
      <c r="AR16" s="30" t="s">
        <v>41</v>
      </c>
      <c r="AS16" s="31">
        <f>IF($AG$6=$AN$8,AN16,0)</f>
        <v>0</v>
      </c>
      <c r="AT16" s="12"/>
      <c r="AU16" s="12"/>
      <c r="AV16" s="12"/>
      <c r="AW16" s="28" t="s">
        <v>36</v>
      </c>
      <c r="AX16" s="29">
        <f t="shared" si="6"/>
        <v>0</v>
      </c>
      <c r="AY16" s="30" t="s">
        <v>41</v>
      </c>
      <c r="AZ16" s="31">
        <f>AZ8</f>
        <v>0</v>
      </c>
      <c r="BA16" s="12"/>
      <c r="BB16" s="28" t="s">
        <v>36</v>
      </c>
      <c r="BC16" s="29">
        <f t="shared" si="7"/>
        <v>0</v>
      </c>
      <c r="BD16" s="30" t="s">
        <v>41</v>
      </c>
      <c r="BE16" s="31">
        <f>IF(AZ16=1,AN16,0)</f>
        <v>0</v>
      </c>
      <c r="BG16" s="12"/>
      <c r="BH16" s="56"/>
      <c r="BI16" s="12"/>
      <c r="BJ16" s="1251"/>
      <c r="BK16" s="1252"/>
      <c r="BL16" s="50"/>
      <c r="BM16" s="12"/>
      <c r="BN16" s="28" t="s">
        <v>36</v>
      </c>
      <c r="BO16" s="672">
        <f>Y16+Y17+Y18+Y19+AA14+AA15+AA16+AA17</f>
        <v>16800</v>
      </c>
      <c r="BP16" s="30" t="s">
        <v>41</v>
      </c>
      <c r="BQ16" s="674">
        <f>SUM(AA16:AA17)</f>
        <v>4200</v>
      </c>
      <c r="BR16" s="12"/>
      <c r="BS16" s="28" t="s">
        <v>36</v>
      </c>
      <c r="BT16" s="29">
        <f>IF($BJ$6=$BO$8,BO16,0)</f>
        <v>0</v>
      </c>
      <c r="BU16" s="30" t="s">
        <v>41</v>
      </c>
      <c r="BV16" s="31">
        <f>IF($BJ$6=$BQ$8,BQ16,0)</f>
        <v>0</v>
      </c>
      <c r="BW16" s="12"/>
      <c r="BX16" s="12"/>
      <c r="BY16" s="12"/>
      <c r="BZ16" s="28" t="s">
        <v>36</v>
      </c>
      <c r="CA16" s="29">
        <f t="shared" si="8"/>
        <v>0</v>
      </c>
      <c r="CB16" s="30" t="s">
        <v>41</v>
      </c>
      <c r="CC16" s="31">
        <f>CC8</f>
        <v>0</v>
      </c>
      <c r="CD16" s="12"/>
      <c r="CE16" s="28" t="s">
        <v>36</v>
      </c>
      <c r="CF16" s="29">
        <f t="shared" si="9"/>
        <v>0</v>
      </c>
      <c r="CG16" s="30" t="s">
        <v>41</v>
      </c>
      <c r="CH16" s="31">
        <f>IF(CC16=1,BQ16,0)</f>
        <v>0</v>
      </c>
      <c r="CI16" s="13"/>
    </row>
    <row r="17" spans="1:87" ht="23.25" customHeight="1">
      <c r="A17" s="1302"/>
      <c r="B17" s="1303"/>
      <c r="C17" s="1303"/>
      <c r="D17" s="1304"/>
      <c r="E17" s="1298"/>
      <c r="F17" s="1328"/>
      <c r="G17" s="1329"/>
      <c r="H17" s="28" t="s">
        <v>43</v>
      </c>
      <c r="I17" s="29">
        <f>IF($AE$1&gt;0,0,'医療分・支援・子供・介護分（印刷））'!X19)</f>
        <v>1560</v>
      </c>
      <c r="J17" s="30" t="s">
        <v>42</v>
      </c>
      <c r="K17" s="29">
        <f>IF($AE$1&gt;0,0,'医療分・支援・子供・介護分（印刷））'!Z19)</f>
        <v>1561</v>
      </c>
      <c r="L17" s="28" t="s">
        <v>43</v>
      </c>
      <c r="M17" s="29">
        <f>IF($AE$1&gt;0,0,'医療分・支援・子供・介護分（印刷））'!X108)</f>
        <v>540</v>
      </c>
      <c r="N17" s="30" t="s">
        <v>42</v>
      </c>
      <c r="O17" s="29">
        <f>IF($AE$1&gt;0,0,'医療分・支援・子供・介護分（印刷））'!Z108)</f>
        <v>539</v>
      </c>
      <c r="P17" s="28" t="s">
        <v>43</v>
      </c>
      <c r="Q17" s="29">
        <f>IF($AE$1&gt;0,0,'医療分・支援・子供・介護分（印刷））'!X196)</f>
        <v>0</v>
      </c>
      <c r="R17" s="30" t="s">
        <v>42</v>
      </c>
      <c r="S17" s="31">
        <f>IF($AE$1&gt;0,0,'医療分・支援・子供・介護分（印刷））'!Z196)</f>
        <v>0</v>
      </c>
      <c r="T17" s="28" t="s">
        <v>43</v>
      </c>
      <c r="U17" s="29">
        <f>IF($AE$1&gt;0,0,'医療分・支援・子供・介護分（印刷））'!X285)</f>
        <v>0</v>
      </c>
      <c r="V17" s="30" t="s">
        <v>42</v>
      </c>
      <c r="W17" s="31">
        <f>IF($AE$1&gt;0,0,'医療分・支援・子供・介護分（印刷））'!Z285)</f>
        <v>0</v>
      </c>
      <c r="X17" s="262" t="s">
        <v>43</v>
      </c>
      <c r="Y17" s="125">
        <f t="shared" si="11"/>
        <v>2100</v>
      </c>
      <c r="Z17" s="263" t="s">
        <v>42</v>
      </c>
      <c r="AA17" s="127">
        <f t="shared" si="10"/>
        <v>2100</v>
      </c>
      <c r="AE17" s="56"/>
      <c r="AF17" s="12"/>
      <c r="AG17" s="1259"/>
      <c r="AH17" s="1259"/>
      <c r="AI17" s="1259"/>
      <c r="AJ17" s="12"/>
      <c r="AK17" s="671" t="s">
        <v>43</v>
      </c>
      <c r="AL17" s="672">
        <f>SUM(Y14:Y17)</f>
        <v>8800</v>
      </c>
      <c r="AM17" s="675" t="s">
        <v>93</v>
      </c>
      <c r="AN17" s="676">
        <f>Y14+Y15+Y16+Y17+Y18+Y19+AA14+AA15+AA16+AA17</f>
        <v>21400</v>
      </c>
      <c r="AO17" s="12"/>
      <c r="AP17" s="28" t="s">
        <v>43</v>
      </c>
      <c r="AQ17" s="29">
        <f>IF($AG$6=$AL$9,AL17,0)</f>
        <v>0</v>
      </c>
      <c r="AR17" s="133" t="s">
        <v>93</v>
      </c>
      <c r="AS17" s="31">
        <f>IF($AG$6=$AN$9,AN17,0)</f>
        <v>0</v>
      </c>
      <c r="AT17" s="12"/>
      <c r="AU17" s="12"/>
      <c r="AV17" s="12"/>
      <c r="AW17" s="28" t="s">
        <v>43</v>
      </c>
      <c r="AX17" s="29">
        <f t="shared" si="6"/>
        <v>0</v>
      </c>
      <c r="AY17" s="133" t="s">
        <v>93</v>
      </c>
      <c r="AZ17" s="31">
        <f>AZ9</f>
        <v>0</v>
      </c>
      <c r="BA17" s="12"/>
      <c r="BB17" s="28" t="s">
        <v>43</v>
      </c>
      <c r="BC17" s="29">
        <f t="shared" si="7"/>
        <v>0</v>
      </c>
      <c r="BD17" s="133" t="s">
        <v>93</v>
      </c>
      <c r="BE17" s="31">
        <f>IF(AZ17=1,AN17,0)</f>
        <v>0</v>
      </c>
      <c r="BG17" s="12"/>
      <c r="BH17" s="56"/>
      <c r="BI17" s="12"/>
      <c r="BJ17" s="1259"/>
      <c r="BK17" s="1259"/>
      <c r="BL17" s="1259"/>
      <c r="BM17" s="12"/>
      <c r="BN17" s="28" t="s">
        <v>43</v>
      </c>
      <c r="BO17" s="672">
        <f>Y17+Y18+Y19+AA14+AA15+AA16+AA17</f>
        <v>14700</v>
      </c>
      <c r="BP17" s="30" t="s">
        <v>42</v>
      </c>
      <c r="BQ17" s="676">
        <f>AA17</f>
        <v>2100</v>
      </c>
      <c r="BR17" s="12"/>
      <c r="BS17" s="28" t="s">
        <v>43</v>
      </c>
      <c r="BT17" s="29">
        <f>IF($BJ$6=$BO$9,BO17,0)</f>
        <v>0</v>
      </c>
      <c r="BU17" s="133" t="s">
        <v>93</v>
      </c>
      <c r="BV17" s="31">
        <f>IF($BJ$6=$BQ$9,BQ17,0)</f>
        <v>0</v>
      </c>
      <c r="BW17" s="12"/>
      <c r="BX17" s="12"/>
      <c r="BY17" s="12"/>
      <c r="BZ17" s="28" t="s">
        <v>43</v>
      </c>
      <c r="CA17" s="29">
        <f t="shared" si="8"/>
        <v>0</v>
      </c>
      <c r="CB17" s="133" t="s">
        <v>93</v>
      </c>
      <c r="CC17" s="31">
        <f>CC9</f>
        <v>0</v>
      </c>
      <c r="CD17" s="12"/>
      <c r="CE17" s="28" t="s">
        <v>43</v>
      </c>
      <c r="CF17" s="29">
        <f t="shared" si="9"/>
        <v>0</v>
      </c>
      <c r="CG17" s="133" t="s">
        <v>93</v>
      </c>
      <c r="CH17" s="31">
        <f>IF(CC17=1,BQ17,0)</f>
        <v>0</v>
      </c>
      <c r="CI17" s="13"/>
    </row>
    <row r="18" spans="1:87" ht="23.25" customHeight="1">
      <c r="A18" s="1285">
        <f>IF((U15+U16+U17+U18+U19+W14+W15+W16+W17)&lt;0,"介護該当者は①から順に入力してください｡",0)</f>
        <v>0</v>
      </c>
      <c r="B18" s="1286"/>
      <c r="C18" s="1286"/>
      <c r="D18" s="1287"/>
      <c r="E18" s="1291">
        <f>IF(AU18=1,"＊入金額エラー＊",0)</f>
        <v>0</v>
      </c>
      <c r="F18" s="1292"/>
      <c r="G18" s="1293"/>
      <c r="H18" s="28" t="s">
        <v>37</v>
      </c>
      <c r="I18" s="29">
        <f>IF($AE$1&gt;0,0,'医療分・支援・子供・介護分（印刷））'!X20)</f>
        <v>1560</v>
      </c>
      <c r="J18" s="1313" t="s">
        <v>44</v>
      </c>
      <c r="K18" s="1317">
        <f>IF(AE1&gt;0,0,'医療分・支援・子供・介護分（印刷））'!Z20)</f>
        <v>15900</v>
      </c>
      <c r="L18" s="28" t="s">
        <v>37</v>
      </c>
      <c r="M18" s="29">
        <f>IF($AE$1&gt;0,0,'医療分・支援・子供・介護分（印刷））'!X109)</f>
        <v>540</v>
      </c>
      <c r="N18" s="1313" t="s">
        <v>44</v>
      </c>
      <c r="O18" s="1315">
        <f>IF($AE$1&gt;0,0,'医療分・支援・子供・介護分（印刷））'!Z109)</f>
        <v>5500</v>
      </c>
      <c r="P18" s="28" t="s">
        <v>37</v>
      </c>
      <c r="Q18" s="29">
        <f>IF($AE$1&gt;0,0,'医療分・支援・子供・介護分（印刷））'!X197)</f>
        <v>0</v>
      </c>
      <c r="R18" s="1313" t="s">
        <v>44</v>
      </c>
      <c r="S18" s="1315">
        <f>IF(AE1&gt;0,0,'医療分・支援・子供・介護分（印刷））'!Z197)</f>
        <v>0</v>
      </c>
      <c r="T18" s="28" t="s">
        <v>37</v>
      </c>
      <c r="U18" s="29">
        <f>IF($AE$1&gt;0,0,'医療分・支援・子供・介護分（印刷））'!X286)</f>
        <v>0</v>
      </c>
      <c r="V18" s="1313" t="s">
        <v>44</v>
      </c>
      <c r="W18" s="1315">
        <f>IF(AE1&gt;0,0,'医療分・支援・子供・介護分（印刷））'!Z286)</f>
        <v>0</v>
      </c>
      <c r="X18" s="262" t="s">
        <v>37</v>
      </c>
      <c r="Y18" s="125">
        <f>I18+M18+Q18+U18</f>
        <v>2100</v>
      </c>
      <c r="Z18" s="1319" t="s">
        <v>44</v>
      </c>
      <c r="AA18" s="1280">
        <f>K18+O18+S18+W18</f>
        <v>21400</v>
      </c>
      <c r="AE18" s="56"/>
      <c r="AF18" s="12"/>
      <c r="AG18" s="1251"/>
      <c r="AH18" s="1252"/>
      <c r="AI18" s="50"/>
      <c r="AJ18" s="12"/>
      <c r="AK18" s="671" t="s">
        <v>37</v>
      </c>
      <c r="AL18" s="677">
        <f>SUM(Y14:Y18)</f>
        <v>10900</v>
      </c>
      <c r="AM18" s="1372"/>
      <c r="AN18" s="1366"/>
      <c r="AO18" s="12"/>
      <c r="AP18" s="28" t="s">
        <v>37</v>
      </c>
      <c r="AQ18" s="29">
        <f>IF($AG$6=$AL$10,AL18,0)</f>
        <v>0</v>
      </c>
      <c r="AR18" s="1247">
        <f>AQ14+AQ15+AQ16+AQ17+AQ18+AQ19+AS14+AS15+AS16+AS17</f>
        <v>0</v>
      </c>
      <c r="AS18" s="1248"/>
      <c r="AT18" s="1257">
        <f>IF(AL14=0,"－",IF(AR18&lt;AG14,"エラー",0))</f>
        <v>0</v>
      </c>
      <c r="AU18" s="1257">
        <f>IF(AT18="エラー",1,0)</f>
        <v>0</v>
      </c>
      <c r="AV18" s="12"/>
      <c r="AW18" s="28" t="s">
        <v>37</v>
      </c>
      <c r="AX18" s="29">
        <f t="shared" si="6"/>
        <v>0</v>
      </c>
      <c r="AY18" s="1247"/>
      <c r="AZ18" s="1248"/>
      <c r="BA18" s="12"/>
      <c r="BB18" s="28" t="s">
        <v>37</v>
      </c>
      <c r="BC18" s="29">
        <f t="shared" si="7"/>
        <v>0</v>
      </c>
      <c r="BD18" s="1247">
        <f>BC14+BC15+BC16+BC17+BC18+BC19+BE14+BE15+BE16+BE17</f>
        <v>0</v>
      </c>
      <c r="BE18" s="1248"/>
      <c r="BG18" s="12"/>
      <c r="BH18" s="56"/>
      <c r="BI18" s="12"/>
      <c r="BJ18" s="1251"/>
      <c r="BK18" s="1252"/>
      <c r="BL18" s="50"/>
      <c r="BM18" s="12"/>
      <c r="BN18" s="28" t="s">
        <v>37</v>
      </c>
      <c r="BO18" s="677">
        <f>Y18+Y19+AA14+AA15+AA16+AA17</f>
        <v>12600</v>
      </c>
      <c r="BP18" s="1253"/>
      <c r="BQ18" s="1255"/>
      <c r="BR18" s="12"/>
      <c r="BS18" s="28" t="s">
        <v>37</v>
      </c>
      <c r="BT18" s="29">
        <f>IF($BJ$6=$BO$10,BO18,0)</f>
        <v>0</v>
      </c>
      <c r="BU18" s="1247">
        <f>BT14+BT15+BT16+BT17+BT18+BT19+BV14+BV15+BV16+BV17</f>
        <v>0</v>
      </c>
      <c r="BV18" s="1248"/>
      <c r="BW18" s="1257">
        <f>IF(BO14=0,"－",IF(BU18&lt;BJ14,"エラー",0))</f>
        <v>0</v>
      </c>
      <c r="BX18" s="1257">
        <f>IF(BW18="エラー",1,0)</f>
        <v>0</v>
      </c>
      <c r="BY18" s="12"/>
      <c r="BZ18" s="28" t="s">
        <v>37</v>
      </c>
      <c r="CA18" s="29">
        <f t="shared" si="8"/>
        <v>0</v>
      </c>
      <c r="CB18" s="1247"/>
      <c r="CC18" s="1248"/>
      <c r="CD18" s="12"/>
      <c r="CE18" s="28" t="s">
        <v>37</v>
      </c>
      <c r="CF18" s="29">
        <f t="shared" si="9"/>
        <v>0</v>
      </c>
      <c r="CG18" s="1247">
        <f>CF14+CF15+CF16+CF17+CF18+CF19+CH14+CH15+CH16+CH17</f>
        <v>0</v>
      </c>
      <c r="CH18" s="1248"/>
      <c r="CI18" s="13"/>
    </row>
    <row r="19" spans="1:87" ht="23.25" customHeight="1">
      <c r="A19" s="1288"/>
      <c r="B19" s="1289"/>
      <c r="C19" s="1289"/>
      <c r="D19" s="1290"/>
      <c r="E19" s="1294"/>
      <c r="F19" s="1295"/>
      <c r="G19" s="1296"/>
      <c r="H19" s="65" t="s">
        <v>38</v>
      </c>
      <c r="I19" s="66">
        <f>IF($AE$1&gt;0,0,'医療分・支援・子供・介護分（印刷））'!X21)</f>
        <v>1560</v>
      </c>
      <c r="J19" s="1314"/>
      <c r="K19" s="1318"/>
      <c r="L19" s="65" t="s">
        <v>38</v>
      </c>
      <c r="M19" s="66">
        <f>IF($AE$1&gt;0,0,'医療分・支援・子供・介護分（印刷））'!X110)</f>
        <v>540</v>
      </c>
      <c r="N19" s="1314"/>
      <c r="O19" s="1316"/>
      <c r="P19" s="65" t="s">
        <v>38</v>
      </c>
      <c r="Q19" s="66">
        <f>IF($AE$1&gt;0,0,'医療分・支援・子供・介護分（印刷））'!X198)</f>
        <v>0</v>
      </c>
      <c r="R19" s="1314"/>
      <c r="S19" s="1316"/>
      <c r="T19" s="65" t="s">
        <v>38</v>
      </c>
      <c r="U19" s="66">
        <f>IF($AE$1&gt;0,0,'医療分・支援・子供・介護分（印刷））'!X287)</f>
        <v>0</v>
      </c>
      <c r="V19" s="1314"/>
      <c r="W19" s="1316"/>
      <c r="X19" s="264" t="s">
        <v>38</v>
      </c>
      <c r="Y19" s="129">
        <f t="shared" si="11"/>
        <v>2100</v>
      </c>
      <c r="Z19" s="1320"/>
      <c r="AA19" s="1281"/>
      <c r="AC19" s="272" t="str">
        <f>IF(AA18=0,"－",IF(F14=AA18,"ＯＫ","エラー"))</f>
        <v>ＯＫ</v>
      </c>
      <c r="AE19" s="56"/>
      <c r="AF19" s="12"/>
      <c r="AG19" s="12"/>
      <c r="AH19" s="12"/>
      <c r="AI19" s="12"/>
      <c r="AJ19" s="12"/>
      <c r="AK19" s="678" t="s">
        <v>38</v>
      </c>
      <c r="AL19" s="679">
        <f>SUM(Y14:Y19)</f>
        <v>13000</v>
      </c>
      <c r="AM19" s="1373"/>
      <c r="AN19" s="1367"/>
      <c r="AO19" s="12"/>
      <c r="AP19" s="65" t="s">
        <v>38</v>
      </c>
      <c r="AQ19" s="66">
        <f>IF($AG$6=$AL$11,AL19,0)</f>
        <v>0</v>
      </c>
      <c r="AR19" s="1249"/>
      <c r="AS19" s="1250"/>
      <c r="AT19" s="1258"/>
      <c r="AU19" s="1258"/>
      <c r="AV19" s="12"/>
      <c r="AW19" s="65" t="s">
        <v>38</v>
      </c>
      <c r="AX19" s="66">
        <f t="shared" si="6"/>
        <v>0</v>
      </c>
      <c r="AY19" s="1249"/>
      <c r="AZ19" s="1250"/>
      <c r="BA19" s="12"/>
      <c r="BB19" s="65" t="s">
        <v>38</v>
      </c>
      <c r="BC19" s="66">
        <f t="shared" si="7"/>
        <v>0</v>
      </c>
      <c r="BD19" s="1249"/>
      <c r="BE19" s="1250"/>
      <c r="BG19" s="12"/>
      <c r="BH19" s="56"/>
      <c r="BI19" s="12"/>
      <c r="BJ19" s="12"/>
      <c r="BK19" s="12"/>
      <c r="BL19" s="12"/>
      <c r="BM19" s="12"/>
      <c r="BN19" s="65" t="s">
        <v>38</v>
      </c>
      <c r="BO19" s="679">
        <f>Y19+AA14+AA15+AA16+AA17</f>
        <v>10500</v>
      </c>
      <c r="BP19" s="1254"/>
      <c r="BQ19" s="1256"/>
      <c r="BR19" s="12"/>
      <c r="BS19" s="65" t="s">
        <v>38</v>
      </c>
      <c r="BT19" s="66">
        <f>IF($BJ$6=$BO$11,BO19,0)</f>
        <v>0</v>
      </c>
      <c r="BU19" s="1249"/>
      <c r="BV19" s="1250"/>
      <c r="BW19" s="1258"/>
      <c r="BX19" s="1258"/>
      <c r="BY19" s="12"/>
      <c r="BZ19" s="65" t="s">
        <v>38</v>
      </c>
      <c r="CA19" s="66">
        <f t="shared" si="8"/>
        <v>0</v>
      </c>
      <c r="CB19" s="1249"/>
      <c r="CC19" s="1250"/>
      <c r="CD19" s="12"/>
      <c r="CE19" s="65" t="s">
        <v>38</v>
      </c>
      <c r="CF19" s="66">
        <f t="shared" si="9"/>
        <v>0</v>
      </c>
      <c r="CG19" s="1249"/>
      <c r="CH19" s="1250"/>
      <c r="CI19" s="13"/>
    </row>
    <row r="20" spans="1:87" ht="9.9499999999999993" customHeight="1">
      <c r="E20" s="68"/>
      <c r="F20" s="68"/>
      <c r="AE20" s="56"/>
      <c r="AF20" s="12"/>
      <c r="AG20" s="12"/>
      <c r="AH20" s="12"/>
      <c r="AI20" s="12"/>
      <c r="AJ20" s="12"/>
      <c r="AK20" s="191"/>
      <c r="AL20" s="191"/>
      <c r="AM20" s="191"/>
      <c r="AN20" s="191"/>
      <c r="AO20" s="12"/>
      <c r="AP20" s="4"/>
      <c r="AQ20" s="4"/>
      <c r="AR20" s="4"/>
      <c r="AS20" s="4"/>
      <c r="AT20" s="12"/>
      <c r="AU20" s="12"/>
      <c r="AV20" s="12"/>
      <c r="AW20" s="4"/>
      <c r="AX20" s="4"/>
      <c r="AY20" s="4"/>
      <c r="AZ20" s="4"/>
      <c r="BA20" s="12"/>
      <c r="BB20" s="4"/>
      <c r="BC20" s="4"/>
      <c r="BD20" s="4"/>
      <c r="BE20" s="4"/>
      <c r="BG20" s="12"/>
      <c r="BH20" s="56"/>
      <c r="BI20" s="12"/>
      <c r="BJ20" s="12"/>
      <c r="BK20" s="12"/>
      <c r="BL20" s="12"/>
      <c r="BM20" s="12"/>
      <c r="BN20" s="4"/>
      <c r="BO20" s="4"/>
      <c r="BP20" s="4"/>
      <c r="BQ20" s="4"/>
      <c r="BR20" s="12"/>
      <c r="BS20" s="4"/>
      <c r="BT20" s="4"/>
      <c r="BU20" s="4"/>
      <c r="BV20" s="4"/>
      <c r="BW20" s="12"/>
      <c r="BX20" s="12"/>
      <c r="BY20" s="12"/>
      <c r="BZ20" s="4"/>
      <c r="CA20" s="4"/>
      <c r="CB20" s="4"/>
      <c r="CC20" s="4"/>
      <c r="CD20" s="12"/>
      <c r="CE20" s="4"/>
      <c r="CF20" s="4"/>
      <c r="CG20" s="4"/>
      <c r="CH20" s="4"/>
      <c r="CI20" s="13"/>
    </row>
    <row r="21" spans="1:87" ht="23.25" customHeight="1">
      <c r="A21" s="1311" t="s">
        <v>152</v>
      </c>
      <c r="B21" s="1308" t="s">
        <v>77</v>
      </c>
      <c r="C21" s="1308"/>
      <c r="D21" s="1308"/>
      <c r="E21" s="1330" t="s">
        <v>82</v>
      </c>
      <c r="F21" s="1331"/>
      <c r="G21" s="1332"/>
      <c r="H21" s="1278" t="s">
        <v>69</v>
      </c>
      <c r="I21" s="1278"/>
      <c r="J21" s="1278"/>
      <c r="K21" s="1278"/>
      <c r="L21" s="1277" t="s">
        <v>159</v>
      </c>
      <c r="M21" s="1278"/>
      <c r="N21" s="1278"/>
      <c r="O21" s="1279"/>
      <c r="P21" s="1277" t="s">
        <v>409</v>
      </c>
      <c r="Q21" s="1278"/>
      <c r="R21" s="1278"/>
      <c r="S21" s="1279"/>
      <c r="T21" s="1277" t="s">
        <v>70</v>
      </c>
      <c r="U21" s="1278"/>
      <c r="V21" s="1278"/>
      <c r="W21" s="1279"/>
      <c r="X21" s="1277" t="s">
        <v>76</v>
      </c>
      <c r="Y21" s="1278"/>
      <c r="Z21" s="1278"/>
      <c r="AA21" s="1279"/>
      <c r="AE21" s="56"/>
      <c r="AF21" s="12"/>
      <c r="AG21" s="12"/>
      <c r="AH21" s="12"/>
      <c r="AI21" s="12"/>
      <c r="AJ21" s="12"/>
      <c r="AK21" s="1374" t="s">
        <v>94</v>
      </c>
      <c r="AL21" s="1375"/>
      <c r="AM21" s="1375"/>
      <c r="AN21" s="1376"/>
      <c r="AO21" s="12"/>
      <c r="AP21" s="1260" t="s">
        <v>95</v>
      </c>
      <c r="AQ21" s="1261"/>
      <c r="AR21" s="1261"/>
      <c r="AS21" s="1262"/>
      <c r="AT21" s="12"/>
      <c r="AU21" s="12"/>
      <c r="AV21" s="12"/>
      <c r="AW21" s="1260" t="s">
        <v>98</v>
      </c>
      <c r="AX21" s="1261"/>
      <c r="AY21" s="1261"/>
      <c r="AZ21" s="1262"/>
      <c r="BA21" s="12"/>
      <c r="BB21" s="1260" t="s">
        <v>98</v>
      </c>
      <c r="BC21" s="1261"/>
      <c r="BD21" s="1261"/>
      <c r="BE21" s="1262"/>
      <c r="BG21" s="12"/>
      <c r="BH21" s="56"/>
      <c r="BI21" s="12"/>
      <c r="BJ21" s="12"/>
      <c r="BK21" s="12"/>
      <c r="BL21" s="12"/>
      <c r="BM21" s="12"/>
      <c r="BN21" s="1260" t="s">
        <v>101</v>
      </c>
      <c r="BO21" s="1261"/>
      <c r="BP21" s="1261"/>
      <c r="BQ21" s="1262"/>
      <c r="BR21" s="12"/>
      <c r="BS21" s="1260" t="s">
        <v>95</v>
      </c>
      <c r="BT21" s="1261"/>
      <c r="BU21" s="1261"/>
      <c r="BV21" s="1262"/>
      <c r="BW21" s="12"/>
      <c r="BX21" s="12"/>
      <c r="BY21" s="12"/>
      <c r="BZ21" s="1260" t="s">
        <v>98</v>
      </c>
      <c r="CA21" s="1261"/>
      <c r="CB21" s="1261"/>
      <c r="CC21" s="1262"/>
      <c r="CD21" s="12"/>
      <c r="CE21" s="1260" t="s">
        <v>98</v>
      </c>
      <c r="CF21" s="1261"/>
      <c r="CG21" s="1261"/>
      <c r="CH21" s="1262"/>
      <c r="CI21" s="13"/>
    </row>
    <row r="22" spans="1:87" ht="23.25" customHeight="1">
      <c r="A22" s="1312"/>
      <c r="B22" s="1305">
        <f>入力画面!C17</f>
        <v>0</v>
      </c>
      <c r="C22" s="1300"/>
      <c r="D22" s="1309">
        <f>IF(F22&gt;0,"様",0)</f>
        <v>0</v>
      </c>
      <c r="E22" s="1321" t="s">
        <v>75</v>
      </c>
      <c r="F22" s="1323">
        <f>IF(AE1&gt;0,0,'医療分・支援・子供・介護分（印刷））'!U30+'医療分・支援・子供・介護分（印刷））'!U119+'医療分・支援・子供・介護分（印刷））'!U207+'医療分・支援・子供・介護分（印刷））'!U296)</f>
        <v>0</v>
      </c>
      <c r="G22" s="1325" t="s">
        <v>6</v>
      </c>
      <c r="H22" s="82" t="s">
        <v>34</v>
      </c>
      <c r="I22" s="29">
        <f>IF($AE$1&gt;0,0,'医療分・支援・子供・介護分（印刷））'!X26)</f>
        <v>0</v>
      </c>
      <c r="J22" s="30" t="s">
        <v>39</v>
      </c>
      <c r="K22" s="29">
        <f>IF($AE$1&gt;0,0,'医療分・支援・子供・介護分（印刷））'!Z26)</f>
        <v>0</v>
      </c>
      <c r="L22" s="28" t="s">
        <v>34</v>
      </c>
      <c r="M22" s="29">
        <f>IF($AE$1&gt;0,0,'医療分・支援・子供・介護分（印刷））'!X115)</f>
        <v>0</v>
      </c>
      <c r="N22" s="30" t="s">
        <v>39</v>
      </c>
      <c r="O22" s="29">
        <f>IF($AE$1&gt;0,0,'医療分・支援・子供・介護分（印刷））'!Z115)</f>
        <v>0</v>
      </c>
      <c r="P22" s="28" t="s">
        <v>34</v>
      </c>
      <c r="Q22" s="29">
        <f>IF($AE$1&gt;0,0,'医療分・支援・子供・介護分（印刷））'!X203)</f>
        <v>0</v>
      </c>
      <c r="R22" s="30" t="s">
        <v>39</v>
      </c>
      <c r="S22" s="29">
        <f>IF($AE$1&gt;0,0,'医療分・支援・子供・介護分（印刷））'!Z203)</f>
        <v>0</v>
      </c>
      <c r="T22" s="28" t="s">
        <v>34</v>
      </c>
      <c r="U22" s="29">
        <f>IF($AE$1&gt;0,0,'医療分・支援・子供・介護分（印刷））'!X292)</f>
        <v>0</v>
      </c>
      <c r="V22" s="30" t="s">
        <v>39</v>
      </c>
      <c r="W22" s="29">
        <f>IF($AE$1&gt;0,0,'医療分・支援・子供・介護分（印刷））'!Z292)</f>
        <v>0</v>
      </c>
      <c r="X22" s="258" t="s">
        <v>34</v>
      </c>
      <c r="Y22" s="259">
        <f>I22+M22+Q22+U22</f>
        <v>0</v>
      </c>
      <c r="Z22" s="260" t="s">
        <v>39</v>
      </c>
      <c r="AA22" s="261">
        <f>K22+O22+S22+W22</f>
        <v>0</v>
      </c>
      <c r="AE22" s="56"/>
      <c r="AF22" s="50"/>
      <c r="AG22" s="1263"/>
      <c r="AH22" s="1264"/>
      <c r="AI22" s="50"/>
      <c r="AJ22" s="12"/>
      <c r="AK22" s="671" t="s">
        <v>34</v>
      </c>
      <c r="AL22" s="672">
        <f>Y22</f>
        <v>0</v>
      </c>
      <c r="AM22" s="673" t="s">
        <v>39</v>
      </c>
      <c r="AN22" s="674">
        <f>Y22+Y23+Y24+Y25+Y26+Y27+AA22</f>
        <v>0</v>
      </c>
      <c r="AO22" s="12"/>
      <c r="AP22" s="28" t="s">
        <v>34</v>
      </c>
      <c r="AQ22" s="29">
        <f>IF($AG$6=$AL$6,AL22,0)</f>
        <v>0</v>
      </c>
      <c r="AR22" s="30" t="s">
        <v>39</v>
      </c>
      <c r="AS22" s="31">
        <f>IF($AG$6=$AN$6,AN22,0)</f>
        <v>0</v>
      </c>
      <c r="AT22" s="12"/>
      <c r="AU22" s="12"/>
      <c r="AV22" s="12"/>
      <c r="AW22" s="28" t="s">
        <v>34</v>
      </c>
      <c r="AX22" s="29">
        <f t="shared" ref="AX22:AX27" si="12">AX14</f>
        <v>0</v>
      </c>
      <c r="AY22" s="30" t="s">
        <v>39</v>
      </c>
      <c r="AZ22" s="31">
        <f>AZ14</f>
        <v>0</v>
      </c>
      <c r="BA22" s="12"/>
      <c r="BB22" s="28" t="s">
        <v>34</v>
      </c>
      <c r="BC22" s="29">
        <f t="shared" ref="BC22:BC27" si="13">IF(AX22=1,AL22,0)</f>
        <v>0</v>
      </c>
      <c r="BD22" s="30" t="s">
        <v>39</v>
      </c>
      <c r="BE22" s="31">
        <f>IF(AZ22=1,AN22,0)</f>
        <v>0</v>
      </c>
      <c r="BG22" s="12"/>
      <c r="BH22" s="56"/>
      <c r="BI22" s="50"/>
      <c r="BJ22" s="1263"/>
      <c r="BK22" s="1264"/>
      <c r="BL22" s="50"/>
      <c r="BM22" s="12"/>
      <c r="BN22" s="28" t="s">
        <v>34</v>
      </c>
      <c r="BO22" s="672">
        <f>Y22+Y23+Y24+Y25+Y26+Y27+AA22+AA23+AA24+AA25</f>
        <v>0</v>
      </c>
      <c r="BP22" s="30" t="s">
        <v>39</v>
      </c>
      <c r="BQ22" s="674">
        <f>SUM(AA22:AA25)</f>
        <v>0</v>
      </c>
      <c r="BR22" s="12"/>
      <c r="BS22" s="28" t="s">
        <v>34</v>
      </c>
      <c r="BT22" s="29">
        <f>IF($BJ$6=$BO$6,BO22,0)</f>
        <v>0</v>
      </c>
      <c r="BU22" s="30" t="s">
        <v>39</v>
      </c>
      <c r="BV22" s="31">
        <f>IF($BJ$6=$BQ$6,BQ22,0)</f>
        <v>0</v>
      </c>
      <c r="BW22" s="12"/>
      <c r="BX22" s="12"/>
      <c r="BY22" s="12"/>
      <c r="BZ22" s="28" t="s">
        <v>34</v>
      </c>
      <c r="CA22" s="29">
        <f t="shared" ref="CA22:CA27" si="14">CA14</f>
        <v>0</v>
      </c>
      <c r="CB22" s="30" t="s">
        <v>39</v>
      </c>
      <c r="CC22" s="31">
        <f>CC14</f>
        <v>0</v>
      </c>
      <c r="CD22" s="12"/>
      <c r="CE22" s="28" t="s">
        <v>34</v>
      </c>
      <c r="CF22" s="29">
        <f t="shared" ref="CF22:CF27" si="15">IF(CA22=1,BO22,0)</f>
        <v>0</v>
      </c>
      <c r="CG22" s="30" t="s">
        <v>39</v>
      </c>
      <c r="CH22" s="31">
        <f>IF(CC22=1,BQ22,0)</f>
        <v>0</v>
      </c>
      <c r="CI22" s="13"/>
    </row>
    <row r="23" spans="1:87" ht="23.25" customHeight="1">
      <c r="A23" s="1312"/>
      <c r="B23" s="1306"/>
      <c r="C23" s="1307"/>
      <c r="D23" s="1310"/>
      <c r="E23" s="1322"/>
      <c r="F23" s="1324"/>
      <c r="G23" s="1326"/>
      <c r="H23" s="82" t="s">
        <v>35</v>
      </c>
      <c r="I23" s="29">
        <f>IF($AE$1&gt;0,0,'医療分・支援・子供・介護分（印刷））'!X27)</f>
        <v>0</v>
      </c>
      <c r="J23" s="30" t="s">
        <v>40</v>
      </c>
      <c r="K23" s="29">
        <f>IF($AE$1&gt;0,0,'医療分・支援・子供・介護分（印刷））'!Z27)</f>
        <v>0</v>
      </c>
      <c r="L23" s="28" t="s">
        <v>35</v>
      </c>
      <c r="M23" s="29">
        <f>IF($AE$1&gt;0,0,'医療分・支援・子供・介護分（印刷））'!X116)</f>
        <v>0</v>
      </c>
      <c r="N23" s="30" t="s">
        <v>40</v>
      </c>
      <c r="O23" s="29">
        <f>IF($AE$1&gt;0,0,'医療分・支援・子供・介護分（印刷））'!Z116)</f>
        <v>0</v>
      </c>
      <c r="P23" s="28" t="s">
        <v>35</v>
      </c>
      <c r="Q23" s="29">
        <f>IF($AE$1&gt;0,0,'医療分・支援・子供・介護分（印刷））'!X204)</f>
        <v>0</v>
      </c>
      <c r="R23" s="30" t="s">
        <v>40</v>
      </c>
      <c r="S23" s="29">
        <f>IF($AE$1&gt;0,0,'医療分・支援・子供・介護分（印刷））'!Z204)</f>
        <v>0</v>
      </c>
      <c r="T23" s="28" t="s">
        <v>35</v>
      </c>
      <c r="U23" s="29">
        <f>IF($AE$1&gt;0,0,'医療分・支援・子供・介護分（印刷））'!X293)</f>
        <v>0</v>
      </c>
      <c r="V23" s="30" t="s">
        <v>40</v>
      </c>
      <c r="W23" s="29">
        <f>IF($AE$1&gt;0,0,'医療分・支援・子供・介護分（印刷））'!Z293)</f>
        <v>0</v>
      </c>
      <c r="X23" s="262" t="s">
        <v>35</v>
      </c>
      <c r="Y23" s="125">
        <f t="shared" ref="Y23:Y27" si="16">I23+M23+Q23+U23</f>
        <v>0</v>
      </c>
      <c r="Z23" s="126" t="s">
        <v>40</v>
      </c>
      <c r="AA23" s="127">
        <f t="shared" ref="AA23:AA25" si="17">K23+O23+S23+W23</f>
        <v>0</v>
      </c>
      <c r="AE23" s="56"/>
      <c r="AF23" s="12"/>
      <c r="AG23" s="1251"/>
      <c r="AH23" s="1252"/>
      <c r="AI23" s="50"/>
      <c r="AJ23" s="12"/>
      <c r="AK23" s="671" t="s">
        <v>35</v>
      </c>
      <c r="AL23" s="672">
        <f>SUM(Y22:Y23)</f>
        <v>0</v>
      </c>
      <c r="AM23" s="673" t="s">
        <v>40</v>
      </c>
      <c r="AN23" s="674">
        <f>Y22+Y23+Y24+Y25+Y26+Y27+AA22+AA23</f>
        <v>0</v>
      </c>
      <c r="AO23" s="12"/>
      <c r="AP23" s="28" t="s">
        <v>35</v>
      </c>
      <c r="AQ23" s="29">
        <f>IF($AG$6=$AL$7,AL23,0)</f>
        <v>0</v>
      </c>
      <c r="AR23" s="30" t="s">
        <v>40</v>
      </c>
      <c r="AS23" s="31">
        <f>IF($AG$6=$AN$7,AN23,0)</f>
        <v>0</v>
      </c>
      <c r="AT23" s="12"/>
      <c r="AU23" s="12"/>
      <c r="AV23" s="12"/>
      <c r="AW23" s="28" t="s">
        <v>35</v>
      </c>
      <c r="AX23" s="29">
        <f t="shared" si="12"/>
        <v>0</v>
      </c>
      <c r="AY23" s="30" t="s">
        <v>40</v>
      </c>
      <c r="AZ23" s="31">
        <f>AZ15</f>
        <v>0</v>
      </c>
      <c r="BA23" s="12"/>
      <c r="BB23" s="28" t="s">
        <v>35</v>
      </c>
      <c r="BC23" s="29">
        <f t="shared" si="13"/>
        <v>0</v>
      </c>
      <c r="BD23" s="30" t="s">
        <v>40</v>
      </c>
      <c r="BE23" s="31">
        <f>IF(AZ23=1,AN23,0)</f>
        <v>0</v>
      </c>
      <c r="BG23" s="12"/>
      <c r="BH23" s="56"/>
      <c r="BI23" s="12"/>
      <c r="BJ23" s="1251"/>
      <c r="BK23" s="1252"/>
      <c r="BL23" s="50"/>
      <c r="BM23" s="12"/>
      <c r="BN23" s="28" t="s">
        <v>35</v>
      </c>
      <c r="BO23" s="672">
        <f>Y23+Y24+Y25+Y26+Y27+AA22+AA23+AA24+AA25</f>
        <v>0</v>
      </c>
      <c r="BP23" s="30" t="s">
        <v>40</v>
      </c>
      <c r="BQ23" s="674">
        <f>SUM(AA23:AA25)</f>
        <v>0</v>
      </c>
      <c r="BR23" s="12"/>
      <c r="BS23" s="28" t="s">
        <v>35</v>
      </c>
      <c r="BT23" s="29">
        <f>IF($BJ$6=$BO$7,BO23,0)</f>
        <v>0</v>
      </c>
      <c r="BU23" s="30" t="s">
        <v>40</v>
      </c>
      <c r="BV23" s="31">
        <f>IF($BJ$6=$BQ$7,BQ23,0)</f>
        <v>0</v>
      </c>
      <c r="BW23" s="12"/>
      <c r="BX23" s="12"/>
      <c r="BY23" s="12"/>
      <c r="BZ23" s="28" t="s">
        <v>35</v>
      </c>
      <c r="CA23" s="29">
        <f t="shared" si="14"/>
        <v>0</v>
      </c>
      <c r="CB23" s="30" t="s">
        <v>40</v>
      </c>
      <c r="CC23" s="31">
        <f>CC15</f>
        <v>0</v>
      </c>
      <c r="CD23" s="12"/>
      <c r="CE23" s="28" t="s">
        <v>35</v>
      </c>
      <c r="CF23" s="29">
        <f t="shared" si="15"/>
        <v>0</v>
      </c>
      <c r="CG23" s="30" t="s">
        <v>40</v>
      </c>
      <c r="CH23" s="31">
        <f>IF(CC23=1,BQ23,0)</f>
        <v>0</v>
      </c>
      <c r="CI23" s="13"/>
    </row>
    <row r="24" spans="1:87" ht="23.25" customHeight="1">
      <c r="A24" s="1299">
        <f>入力画面!$L$9</f>
        <v>0</v>
      </c>
      <c r="B24" s="1300"/>
      <c r="C24" s="1300"/>
      <c r="D24" s="1301"/>
      <c r="E24" s="1297" t="s">
        <v>97</v>
      </c>
      <c r="F24" s="1327">
        <f>BD26+CG26</f>
        <v>0</v>
      </c>
      <c r="G24" s="1329" t="s">
        <v>6</v>
      </c>
      <c r="H24" s="82" t="s">
        <v>36</v>
      </c>
      <c r="I24" s="29">
        <f>IF($AE$1&gt;0,0,'医療分・支援・子供・介護分（印刷））'!X28)</f>
        <v>0</v>
      </c>
      <c r="J24" s="30" t="s">
        <v>41</v>
      </c>
      <c r="K24" s="29">
        <f>IF($AE$1&gt;0,0,'医療分・支援・子供・介護分（印刷））'!Z28)</f>
        <v>0</v>
      </c>
      <c r="L24" s="28" t="s">
        <v>36</v>
      </c>
      <c r="M24" s="29">
        <f>IF($AE$1&gt;0,0,'医療分・支援・子供・介護分（印刷））'!X117)</f>
        <v>0</v>
      </c>
      <c r="N24" s="30" t="s">
        <v>41</v>
      </c>
      <c r="O24" s="29">
        <f>IF($AE$1&gt;0,0,'医療分・支援・子供・介護分（印刷））'!Z117)</f>
        <v>0</v>
      </c>
      <c r="P24" s="28" t="s">
        <v>36</v>
      </c>
      <c r="Q24" s="29">
        <f>IF($AE$1&gt;0,0,'医療分・支援・子供・介護分（印刷））'!X205)</f>
        <v>0</v>
      </c>
      <c r="R24" s="30" t="s">
        <v>41</v>
      </c>
      <c r="S24" s="29">
        <f>IF($AE$1&gt;0,0,'医療分・支援・子供・介護分（印刷））'!Z205)</f>
        <v>0</v>
      </c>
      <c r="T24" s="28" t="s">
        <v>36</v>
      </c>
      <c r="U24" s="29">
        <f>IF($AE$1&gt;0,0,'医療分・支援・子供・介護分（印刷））'!X294)</f>
        <v>0</v>
      </c>
      <c r="V24" s="30" t="s">
        <v>41</v>
      </c>
      <c r="W24" s="29">
        <f>IF($AE$1&gt;0,0,'医療分・支援・子供・介護分（印刷））'!Z294)</f>
        <v>0</v>
      </c>
      <c r="X24" s="262" t="s">
        <v>36</v>
      </c>
      <c r="Y24" s="125">
        <f t="shared" si="16"/>
        <v>0</v>
      </c>
      <c r="Z24" s="126" t="s">
        <v>41</v>
      </c>
      <c r="AA24" s="127">
        <f>K24+O24+S24+W24</f>
        <v>0</v>
      </c>
      <c r="AE24" s="56"/>
      <c r="AF24" s="12"/>
      <c r="AG24" s="1251"/>
      <c r="AH24" s="1252"/>
      <c r="AI24" s="50"/>
      <c r="AJ24" s="12"/>
      <c r="AK24" s="671" t="s">
        <v>36</v>
      </c>
      <c r="AL24" s="672">
        <f>SUM(Y22:Y24)</f>
        <v>0</v>
      </c>
      <c r="AM24" s="673" t="s">
        <v>41</v>
      </c>
      <c r="AN24" s="674">
        <f>Y22+Y23+Y24+Y25+Y26+Y27+AA22+AA23+AA24</f>
        <v>0</v>
      </c>
      <c r="AO24" s="12"/>
      <c r="AP24" s="28" t="s">
        <v>36</v>
      </c>
      <c r="AQ24" s="29">
        <f>IF($AG$6=$AL$8,AL24,0)</f>
        <v>0</v>
      </c>
      <c r="AR24" s="30" t="s">
        <v>41</v>
      </c>
      <c r="AS24" s="31">
        <f>IF($AG$6=$AN$8,AN24,0)</f>
        <v>0</v>
      </c>
      <c r="AT24" s="12"/>
      <c r="AU24" s="12"/>
      <c r="AV24" s="12"/>
      <c r="AW24" s="28" t="s">
        <v>36</v>
      </c>
      <c r="AX24" s="29">
        <f t="shared" si="12"/>
        <v>0</v>
      </c>
      <c r="AY24" s="30" t="s">
        <v>41</v>
      </c>
      <c r="AZ24" s="31">
        <f>AZ16</f>
        <v>0</v>
      </c>
      <c r="BA24" s="12"/>
      <c r="BB24" s="28" t="s">
        <v>36</v>
      </c>
      <c r="BC24" s="29">
        <f t="shared" si="13"/>
        <v>0</v>
      </c>
      <c r="BD24" s="30" t="s">
        <v>41</v>
      </c>
      <c r="BE24" s="31">
        <f>IF(AZ24=1,AN24,0)</f>
        <v>0</v>
      </c>
      <c r="BG24" s="12"/>
      <c r="BH24" s="56"/>
      <c r="BI24" s="12"/>
      <c r="BJ24" s="1251"/>
      <c r="BK24" s="1252"/>
      <c r="BL24" s="50"/>
      <c r="BM24" s="12"/>
      <c r="BN24" s="28" t="s">
        <v>36</v>
      </c>
      <c r="BO24" s="672">
        <f>Y24+Y25+Y26+Y27+AA22+AA23+AA24+AA25</f>
        <v>0</v>
      </c>
      <c r="BP24" s="30" t="s">
        <v>41</v>
      </c>
      <c r="BQ24" s="674">
        <f>SUM(AA24:AA25)</f>
        <v>0</v>
      </c>
      <c r="BR24" s="12"/>
      <c r="BS24" s="28" t="s">
        <v>36</v>
      </c>
      <c r="BT24" s="29">
        <f>IF($BJ$6=$BO$8,BO24,0)</f>
        <v>0</v>
      </c>
      <c r="BU24" s="30" t="s">
        <v>41</v>
      </c>
      <c r="BV24" s="31">
        <f>IF($BJ$6=$BQ$8,BQ24,0)</f>
        <v>0</v>
      </c>
      <c r="BW24" s="12"/>
      <c r="BX24" s="12"/>
      <c r="BY24" s="12"/>
      <c r="BZ24" s="28" t="s">
        <v>36</v>
      </c>
      <c r="CA24" s="29">
        <f t="shared" si="14"/>
        <v>0</v>
      </c>
      <c r="CB24" s="30" t="s">
        <v>41</v>
      </c>
      <c r="CC24" s="31">
        <f>CC16</f>
        <v>0</v>
      </c>
      <c r="CD24" s="12"/>
      <c r="CE24" s="28" t="s">
        <v>36</v>
      </c>
      <c r="CF24" s="29">
        <f t="shared" si="15"/>
        <v>0</v>
      </c>
      <c r="CG24" s="30" t="s">
        <v>41</v>
      </c>
      <c r="CH24" s="31">
        <f>IF(CC24=1,BQ24,0)</f>
        <v>0</v>
      </c>
      <c r="CI24" s="13"/>
    </row>
    <row r="25" spans="1:87" ht="23.25" customHeight="1">
      <c r="A25" s="1302"/>
      <c r="B25" s="1303"/>
      <c r="C25" s="1303"/>
      <c r="D25" s="1304"/>
      <c r="E25" s="1298"/>
      <c r="F25" s="1328"/>
      <c r="G25" s="1329"/>
      <c r="H25" s="82" t="s">
        <v>43</v>
      </c>
      <c r="I25" s="29">
        <f>IF($AE$1&gt;0,0,'医療分・支援・子供・介護分（印刷））'!X29)</f>
        <v>0</v>
      </c>
      <c r="J25" s="30" t="s">
        <v>42</v>
      </c>
      <c r="K25" s="29">
        <f>IF($AE$1&gt;0,0,'医療分・支援・子供・介護分（印刷））'!Z29)</f>
        <v>0</v>
      </c>
      <c r="L25" s="28" t="s">
        <v>43</v>
      </c>
      <c r="M25" s="29">
        <f>IF($AE$1&gt;0,0,'医療分・支援・子供・介護分（印刷））'!X118)</f>
        <v>0</v>
      </c>
      <c r="N25" s="30" t="s">
        <v>42</v>
      </c>
      <c r="O25" s="29">
        <f>IF($AE$1&gt;0,0,'医療分・支援・子供・介護分（印刷））'!Z118)</f>
        <v>0</v>
      </c>
      <c r="P25" s="28" t="s">
        <v>43</v>
      </c>
      <c r="Q25" s="29">
        <f>IF($AE$1&gt;0,0,'医療分・支援・子供・介護分（印刷））'!X206)</f>
        <v>0</v>
      </c>
      <c r="R25" s="30" t="s">
        <v>42</v>
      </c>
      <c r="S25" s="29">
        <f>IF($AE$1&gt;0,0,'医療分・支援・子供・介護分（印刷））'!Z206)</f>
        <v>0</v>
      </c>
      <c r="T25" s="28" t="s">
        <v>43</v>
      </c>
      <c r="U25" s="29">
        <f>IF($AE$1&gt;0,0,'医療分・支援・子供・介護分（印刷））'!X295)</f>
        <v>0</v>
      </c>
      <c r="V25" s="30" t="s">
        <v>42</v>
      </c>
      <c r="W25" s="29">
        <f>IF($AE$1&gt;0,0,'医療分・支援・子供・介護分（印刷））'!Z295)</f>
        <v>0</v>
      </c>
      <c r="X25" s="262" t="s">
        <v>43</v>
      </c>
      <c r="Y25" s="125">
        <f t="shared" si="16"/>
        <v>0</v>
      </c>
      <c r="Z25" s="263" t="s">
        <v>42</v>
      </c>
      <c r="AA25" s="127">
        <f t="shared" si="17"/>
        <v>0</v>
      </c>
      <c r="AE25" s="56"/>
      <c r="AF25" s="12"/>
      <c r="AG25" s="1259"/>
      <c r="AH25" s="1259"/>
      <c r="AI25" s="1259"/>
      <c r="AJ25" s="12"/>
      <c r="AK25" s="671" t="s">
        <v>43</v>
      </c>
      <c r="AL25" s="672">
        <f>SUM(Y22:Y25)</f>
        <v>0</v>
      </c>
      <c r="AM25" s="675" t="s">
        <v>93</v>
      </c>
      <c r="AN25" s="676">
        <f>Y22+Y23+Y24+Y25+Y26+Y27+AA22+AA23+AA24+AA25</f>
        <v>0</v>
      </c>
      <c r="AO25" s="12"/>
      <c r="AP25" s="28" t="s">
        <v>43</v>
      </c>
      <c r="AQ25" s="29">
        <f>IF($AG$6=$AL$9,AL25,0)</f>
        <v>0</v>
      </c>
      <c r="AR25" s="133" t="s">
        <v>93</v>
      </c>
      <c r="AS25" s="31">
        <f>IF($AG$6=$AN$9,AN25,0)</f>
        <v>0</v>
      </c>
      <c r="AT25" s="12"/>
      <c r="AU25" s="12"/>
      <c r="AV25" s="12"/>
      <c r="AW25" s="28" t="s">
        <v>43</v>
      </c>
      <c r="AX25" s="29">
        <f t="shared" si="12"/>
        <v>0</v>
      </c>
      <c r="AY25" s="133" t="s">
        <v>93</v>
      </c>
      <c r="AZ25" s="31">
        <f>AZ17</f>
        <v>0</v>
      </c>
      <c r="BA25" s="12"/>
      <c r="BB25" s="28" t="s">
        <v>43</v>
      </c>
      <c r="BC25" s="29">
        <f t="shared" si="13"/>
        <v>0</v>
      </c>
      <c r="BD25" s="133" t="s">
        <v>93</v>
      </c>
      <c r="BE25" s="31">
        <f>IF(AZ25=1,AN25,0)</f>
        <v>0</v>
      </c>
      <c r="BG25" s="12"/>
      <c r="BH25" s="56"/>
      <c r="BI25" s="12"/>
      <c r="BJ25" s="1259"/>
      <c r="BK25" s="1259"/>
      <c r="BL25" s="1259"/>
      <c r="BM25" s="12"/>
      <c r="BN25" s="28" t="s">
        <v>43</v>
      </c>
      <c r="BO25" s="672">
        <f>Y25+Y26+Y27+AA22+AA23+AA24+AA25</f>
        <v>0</v>
      </c>
      <c r="BP25" s="30" t="s">
        <v>42</v>
      </c>
      <c r="BQ25" s="676">
        <f>AA25</f>
        <v>0</v>
      </c>
      <c r="BR25" s="12"/>
      <c r="BS25" s="28" t="s">
        <v>43</v>
      </c>
      <c r="BT25" s="29">
        <f>IF($BJ$6=$BO$9,BO25,0)</f>
        <v>0</v>
      </c>
      <c r="BU25" s="133" t="s">
        <v>93</v>
      </c>
      <c r="BV25" s="31">
        <f>IF($BJ$6=$BQ$9,BQ25,0)</f>
        <v>0</v>
      </c>
      <c r="BW25" s="12"/>
      <c r="BX25" s="12"/>
      <c r="BY25" s="12"/>
      <c r="BZ25" s="28" t="s">
        <v>43</v>
      </c>
      <c r="CA25" s="29">
        <f t="shared" si="14"/>
        <v>0</v>
      </c>
      <c r="CB25" s="133" t="s">
        <v>93</v>
      </c>
      <c r="CC25" s="31">
        <f>CC17</f>
        <v>0</v>
      </c>
      <c r="CD25" s="12"/>
      <c r="CE25" s="28" t="s">
        <v>43</v>
      </c>
      <c r="CF25" s="29">
        <f t="shared" si="15"/>
        <v>0</v>
      </c>
      <c r="CG25" s="133" t="s">
        <v>93</v>
      </c>
      <c r="CH25" s="31">
        <f>IF(CC25=1,BQ25,0)</f>
        <v>0</v>
      </c>
      <c r="CI25" s="13"/>
    </row>
    <row r="26" spans="1:87" ht="23.25" customHeight="1">
      <c r="A26" s="1285">
        <f>IF((U23+U24+U25+U26+U27+W22+W23+W24+W25)&lt;0,"介護該当者は①から順に入力してください｡",0)</f>
        <v>0</v>
      </c>
      <c r="B26" s="1286"/>
      <c r="C26" s="1286"/>
      <c r="D26" s="1287"/>
      <c r="E26" s="1291">
        <f>IF(AU26=1,"＊入金額エラー＊",0)</f>
        <v>0</v>
      </c>
      <c r="F26" s="1292"/>
      <c r="G26" s="1293"/>
      <c r="H26" s="82" t="s">
        <v>37</v>
      </c>
      <c r="I26" s="29">
        <f>IF($AE$1&gt;0,0,'医療分・支援・子供・介護分（印刷））'!X30)</f>
        <v>0</v>
      </c>
      <c r="J26" s="1313" t="s">
        <v>44</v>
      </c>
      <c r="K26" s="1317">
        <f>IF(AE1&gt;0,0,'医療分・支援・子供・介護分（印刷））'!Z30)</f>
        <v>0</v>
      </c>
      <c r="L26" s="28" t="s">
        <v>37</v>
      </c>
      <c r="M26" s="29">
        <f>IF($AE$1&gt;0,0,'医療分・支援・子供・介護分（印刷））'!X119)</f>
        <v>0</v>
      </c>
      <c r="N26" s="1313" t="s">
        <v>44</v>
      </c>
      <c r="O26" s="1315">
        <f>IF($AE$1&gt;0,0,'医療分・支援・子供・介護分（印刷））'!Z119)</f>
        <v>0</v>
      </c>
      <c r="P26" s="28" t="s">
        <v>37</v>
      </c>
      <c r="Q26" s="29">
        <f>IF($AE$1&gt;0,0,'医療分・支援・子供・介護分（印刷））'!X207)</f>
        <v>0</v>
      </c>
      <c r="R26" s="1313" t="s">
        <v>44</v>
      </c>
      <c r="S26" s="1315">
        <f>IF(AE1&gt;0,0,'医療分・支援・子供・介護分（印刷））'!Z207)</f>
        <v>0</v>
      </c>
      <c r="T26" s="28" t="s">
        <v>37</v>
      </c>
      <c r="U26" s="29">
        <f>IF($AE$1&gt;0,0,'医療分・支援・子供・介護分（印刷））'!X296)</f>
        <v>0</v>
      </c>
      <c r="V26" s="1313" t="s">
        <v>44</v>
      </c>
      <c r="W26" s="1315">
        <f>IF(AI1&gt;0,0,'医療分・支援・子供・介護分（印刷））'!Z296)</f>
        <v>0</v>
      </c>
      <c r="X26" s="262" t="s">
        <v>37</v>
      </c>
      <c r="Y26" s="125">
        <f t="shared" si="16"/>
        <v>0</v>
      </c>
      <c r="Z26" s="1319" t="s">
        <v>44</v>
      </c>
      <c r="AA26" s="1280">
        <f>K26+O26+S26+W26</f>
        <v>0</v>
      </c>
      <c r="AE26" s="56"/>
      <c r="AF26" s="12"/>
      <c r="AG26" s="1251"/>
      <c r="AH26" s="1252"/>
      <c r="AI26" s="50"/>
      <c r="AJ26" s="12"/>
      <c r="AK26" s="671" t="s">
        <v>37</v>
      </c>
      <c r="AL26" s="677">
        <f>SUM(Y22:Y26)</f>
        <v>0</v>
      </c>
      <c r="AM26" s="1372"/>
      <c r="AN26" s="1366"/>
      <c r="AO26" s="12"/>
      <c r="AP26" s="28" t="s">
        <v>37</v>
      </c>
      <c r="AQ26" s="29">
        <f>IF($AG$6=$AL$10,AL26,0)</f>
        <v>0</v>
      </c>
      <c r="AR26" s="1247">
        <f>AQ22+AQ23+AQ24+AQ25+AQ26+AQ27+AS22+AS23+AS24+AS25</f>
        <v>0</v>
      </c>
      <c r="AS26" s="1248"/>
      <c r="AT26" s="1257" t="str">
        <f>IF(AL22=0,"－",IF(AR26&lt;AG22,"エラー",0))</f>
        <v>－</v>
      </c>
      <c r="AU26" s="1257">
        <f>IF(AT26="エラー",1,0)</f>
        <v>0</v>
      </c>
      <c r="AV26" s="12"/>
      <c r="AW26" s="28" t="s">
        <v>37</v>
      </c>
      <c r="AX26" s="29">
        <f t="shared" si="12"/>
        <v>0</v>
      </c>
      <c r="AY26" s="1247"/>
      <c r="AZ26" s="1248"/>
      <c r="BA26" s="12"/>
      <c r="BB26" s="28" t="s">
        <v>37</v>
      </c>
      <c r="BC26" s="29">
        <f t="shared" si="13"/>
        <v>0</v>
      </c>
      <c r="BD26" s="1247">
        <f>BC22+BC23+BC24+BC25+BC26+BC27+BE22+BE23+BE24+BE25</f>
        <v>0</v>
      </c>
      <c r="BE26" s="1248"/>
      <c r="BG26" s="12"/>
      <c r="BH26" s="56"/>
      <c r="BI26" s="12"/>
      <c r="BJ26" s="1251"/>
      <c r="BK26" s="1252"/>
      <c r="BL26" s="50"/>
      <c r="BM26" s="12"/>
      <c r="BN26" s="28" t="s">
        <v>37</v>
      </c>
      <c r="BO26" s="677">
        <f>Y26+Y27+AA22+AA23+AA24+AA25</f>
        <v>0</v>
      </c>
      <c r="BP26" s="1253"/>
      <c r="BQ26" s="1255"/>
      <c r="BR26" s="12"/>
      <c r="BS26" s="28" t="s">
        <v>37</v>
      </c>
      <c r="BT26" s="29">
        <f>IF($BJ$6=$BO$10,BO26,0)</f>
        <v>0</v>
      </c>
      <c r="BU26" s="1247">
        <f>BT22+BT23+BT24+BT25+BT26+BT27+BV22+BV23+BV24+BV25</f>
        <v>0</v>
      </c>
      <c r="BV26" s="1248"/>
      <c r="BW26" s="1257" t="str">
        <f>IF(BO22=0,"－",IF(BU26&lt;BJ22,"エラー",0))</f>
        <v>－</v>
      </c>
      <c r="BX26" s="1257">
        <f>IF(BW26="エラー",1,0)</f>
        <v>0</v>
      </c>
      <c r="BY26" s="12"/>
      <c r="BZ26" s="28" t="s">
        <v>37</v>
      </c>
      <c r="CA26" s="29">
        <f t="shared" si="14"/>
        <v>0</v>
      </c>
      <c r="CB26" s="1247"/>
      <c r="CC26" s="1248"/>
      <c r="CD26" s="12"/>
      <c r="CE26" s="28" t="s">
        <v>37</v>
      </c>
      <c r="CF26" s="29">
        <f t="shared" si="15"/>
        <v>0</v>
      </c>
      <c r="CG26" s="1247">
        <f>CF22+CF23+CF24+CF25+CF26+CF27+CH22+CH23+CH24+CH25</f>
        <v>0</v>
      </c>
      <c r="CH26" s="1248"/>
      <c r="CI26" s="13"/>
    </row>
    <row r="27" spans="1:87" ht="23.25" customHeight="1">
      <c r="A27" s="1288"/>
      <c r="B27" s="1289"/>
      <c r="C27" s="1289"/>
      <c r="D27" s="1290"/>
      <c r="E27" s="1294"/>
      <c r="F27" s="1295"/>
      <c r="G27" s="1296"/>
      <c r="H27" s="128" t="s">
        <v>38</v>
      </c>
      <c r="I27" s="66">
        <f>IF($AE$1&gt;0,0,'医療分・支援・子供・介護分（印刷））'!X31)</f>
        <v>0</v>
      </c>
      <c r="J27" s="1314"/>
      <c r="K27" s="1318"/>
      <c r="L27" s="65" t="s">
        <v>38</v>
      </c>
      <c r="M27" s="66">
        <f>IF($AE$1&gt;0,0,'医療分・支援・子供・介護分（印刷））'!X120)</f>
        <v>0</v>
      </c>
      <c r="N27" s="1314"/>
      <c r="O27" s="1316"/>
      <c r="P27" s="65" t="s">
        <v>38</v>
      </c>
      <c r="Q27" s="66">
        <f>IF($AE$1&gt;0,0,'医療分・支援・子供・介護分（印刷））'!X208)</f>
        <v>0</v>
      </c>
      <c r="R27" s="1314"/>
      <c r="S27" s="1316"/>
      <c r="T27" s="65" t="s">
        <v>38</v>
      </c>
      <c r="U27" s="66">
        <f>IF($AE$1&gt;0,0,'医療分・支援・子供・介護分（印刷））'!X297)</f>
        <v>0</v>
      </c>
      <c r="V27" s="1314"/>
      <c r="W27" s="1316"/>
      <c r="X27" s="264" t="s">
        <v>38</v>
      </c>
      <c r="Y27" s="129">
        <f t="shared" si="16"/>
        <v>0</v>
      </c>
      <c r="Z27" s="1320"/>
      <c r="AA27" s="1281"/>
      <c r="AC27" s="272" t="str">
        <f>IF(AA26=0,"－",IF(F22=AA26,"ＯＫ","エラー"))</f>
        <v>－</v>
      </c>
      <c r="AE27" s="56"/>
      <c r="AF27" s="12"/>
      <c r="AG27" s="12"/>
      <c r="AH27" s="12"/>
      <c r="AI27" s="12"/>
      <c r="AJ27" s="12"/>
      <c r="AK27" s="678" t="s">
        <v>38</v>
      </c>
      <c r="AL27" s="679">
        <f>SUM(Y22:Y27)</f>
        <v>0</v>
      </c>
      <c r="AM27" s="1373"/>
      <c r="AN27" s="1367"/>
      <c r="AO27" s="12"/>
      <c r="AP27" s="65" t="s">
        <v>38</v>
      </c>
      <c r="AQ27" s="66">
        <f>IF($AG$6=$AL$11,AL27,0)</f>
        <v>0</v>
      </c>
      <c r="AR27" s="1249"/>
      <c r="AS27" s="1250"/>
      <c r="AT27" s="1258"/>
      <c r="AU27" s="1258"/>
      <c r="AV27" s="12"/>
      <c r="AW27" s="65" t="s">
        <v>38</v>
      </c>
      <c r="AX27" s="66">
        <f t="shared" si="12"/>
        <v>0</v>
      </c>
      <c r="AY27" s="1249"/>
      <c r="AZ27" s="1250"/>
      <c r="BA27" s="12"/>
      <c r="BB27" s="65" t="s">
        <v>38</v>
      </c>
      <c r="BC27" s="66">
        <f t="shared" si="13"/>
        <v>0</v>
      </c>
      <c r="BD27" s="1249"/>
      <c r="BE27" s="1250"/>
      <c r="BG27" s="12"/>
      <c r="BH27" s="56"/>
      <c r="BI27" s="12"/>
      <c r="BJ27" s="12"/>
      <c r="BK27" s="12"/>
      <c r="BL27" s="12"/>
      <c r="BM27" s="12"/>
      <c r="BN27" s="65" t="s">
        <v>38</v>
      </c>
      <c r="BO27" s="679">
        <f>Y27+AA22+AA23+AA24+AA25</f>
        <v>0</v>
      </c>
      <c r="BP27" s="1254"/>
      <c r="BQ27" s="1256"/>
      <c r="BR27" s="12"/>
      <c r="BS27" s="65" t="s">
        <v>38</v>
      </c>
      <c r="BT27" s="66">
        <f>IF($BJ$6=$BO$11,BO27,0)</f>
        <v>0</v>
      </c>
      <c r="BU27" s="1249"/>
      <c r="BV27" s="1250"/>
      <c r="BW27" s="1258"/>
      <c r="BX27" s="1258"/>
      <c r="BY27" s="12"/>
      <c r="BZ27" s="65" t="s">
        <v>38</v>
      </c>
      <c r="CA27" s="66">
        <f t="shared" si="14"/>
        <v>0</v>
      </c>
      <c r="CB27" s="1249"/>
      <c r="CC27" s="1250"/>
      <c r="CD27" s="12"/>
      <c r="CE27" s="65" t="s">
        <v>38</v>
      </c>
      <c r="CF27" s="66">
        <f t="shared" si="15"/>
        <v>0</v>
      </c>
      <c r="CG27" s="1249"/>
      <c r="CH27" s="1250"/>
      <c r="CI27" s="13"/>
    </row>
    <row r="28" spans="1:87" ht="9.9499999999999993" customHeight="1">
      <c r="E28" s="68"/>
      <c r="F28" s="68"/>
      <c r="G28" s="18"/>
      <c r="AE28" s="56"/>
      <c r="AF28" s="12"/>
      <c r="AG28" s="12"/>
      <c r="AH28" s="12"/>
      <c r="AI28" s="12"/>
      <c r="AJ28" s="12"/>
      <c r="AK28" s="4"/>
      <c r="AL28" s="4"/>
      <c r="AM28" s="4"/>
      <c r="AN28" s="4"/>
      <c r="AO28" s="12"/>
      <c r="AP28" s="4"/>
      <c r="AQ28" s="4"/>
      <c r="AR28" s="4"/>
      <c r="AS28" s="4"/>
      <c r="AT28" s="12"/>
      <c r="AU28" s="12"/>
      <c r="AV28" s="12"/>
      <c r="AW28" s="4"/>
      <c r="AX28" s="4"/>
      <c r="AY28" s="4"/>
      <c r="AZ28" s="4"/>
      <c r="BA28" s="12"/>
      <c r="BB28" s="4"/>
      <c r="BC28" s="4"/>
      <c r="BD28" s="4"/>
      <c r="BE28" s="4"/>
      <c r="BG28" s="12"/>
      <c r="BH28" s="56"/>
      <c r="BI28" s="12"/>
      <c r="BJ28" s="12"/>
      <c r="BK28" s="12"/>
      <c r="BL28" s="12"/>
      <c r="BM28" s="12"/>
      <c r="BN28" s="4"/>
      <c r="BO28" s="4"/>
      <c r="BP28" s="4"/>
      <c r="BQ28" s="4"/>
      <c r="BR28" s="12"/>
      <c r="BS28" s="4"/>
      <c r="BT28" s="4"/>
      <c r="BU28" s="4"/>
      <c r="BV28" s="4"/>
      <c r="BW28" s="12"/>
      <c r="BX28" s="12"/>
      <c r="BY28" s="12"/>
      <c r="BZ28" s="4"/>
      <c r="CA28" s="4"/>
      <c r="CB28" s="4"/>
      <c r="CC28" s="4"/>
      <c r="CD28" s="12"/>
      <c r="CE28" s="4"/>
      <c r="CF28" s="4"/>
      <c r="CG28" s="4"/>
      <c r="CH28" s="4"/>
      <c r="CI28" s="13"/>
    </row>
    <row r="29" spans="1:87" ht="23.25" customHeight="1">
      <c r="A29" s="1311" t="s">
        <v>153</v>
      </c>
      <c r="B29" s="1308" t="s">
        <v>77</v>
      </c>
      <c r="C29" s="1308"/>
      <c r="D29" s="1308"/>
      <c r="E29" s="1330" t="s">
        <v>82</v>
      </c>
      <c r="F29" s="1331"/>
      <c r="G29" s="1332"/>
      <c r="H29" s="1278" t="s">
        <v>69</v>
      </c>
      <c r="I29" s="1278"/>
      <c r="J29" s="1278"/>
      <c r="K29" s="1278"/>
      <c r="L29" s="1277" t="s">
        <v>159</v>
      </c>
      <c r="M29" s="1278"/>
      <c r="N29" s="1278"/>
      <c r="O29" s="1279"/>
      <c r="P29" s="1277" t="s">
        <v>409</v>
      </c>
      <c r="Q29" s="1278"/>
      <c r="R29" s="1278"/>
      <c r="S29" s="1279"/>
      <c r="T29" s="1277" t="s">
        <v>70</v>
      </c>
      <c r="U29" s="1278"/>
      <c r="V29" s="1278"/>
      <c r="W29" s="1279"/>
      <c r="X29" s="1277" t="s">
        <v>76</v>
      </c>
      <c r="Y29" s="1278"/>
      <c r="Z29" s="1278"/>
      <c r="AA29" s="1279"/>
      <c r="AE29" s="56"/>
      <c r="AF29" s="12"/>
      <c r="AG29" s="12"/>
      <c r="AH29" s="12"/>
      <c r="AI29" s="12"/>
      <c r="AJ29" s="12"/>
      <c r="AK29" s="1260" t="s">
        <v>94</v>
      </c>
      <c r="AL29" s="1261"/>
      <c r="AM29" s="1261"/>
      <c r="AN29" s="1262"/>
      <c r="AO29" s="12"/>
      <c r="AP29" s="1260" t="s">
        <v>95</v>
      </c>
      <c r="AQ29" s="1261"/>
      <c r="AR29" s="1261"/>
      <c r="AS29" s="1262"/>
      <c r="AT29" s="12"/>
      <c r="AU29" s="12"/>
      <c r="AV29" s="12"/>
      <c r="AW29" s="1260" t="s">
        <v>98</v>
      </c>
      <c r="AX29" s="1261"/>
      <c r="AY29" s="1261"/>
      <c r="AZ29" s="1262"/>
      <c r="BA29" s="12"/>
      <c r="BB29" s="1260" t="s">
        <v>98</v>
      </c>
      <c r="BC29" s="1261"/>
      <c r="BD29" s="1261"/>
      <c r="BE29" s="1262"/>
      <c r="BG29" s="12"/>
      <c r="BH29" s="56"/>
      <c r="BI29" s="12"/>
      <c r="BJ29" s="12"/>
      <c r="BK29" s="12"/>
      <c r="BL29" s="12"/>
      <c r="BM29" s="12"/>
      <c r="BN29" s="1260" t="s">
        <v>101</v>
      </c>
      <c r="BO29" s="1261"/>
      <c r="BP29" s="1261"/>
      <c r="BQ29" s="1262"/>
      <c r="BR29" s="12"/>
      <c r="BS29" s="1260" t="s">
        <v>95</v>
      </c>
      <c r="BT29" s="1261"/>
      <c r="BU29" s="1261"/>
      <c r="BV29" s="1262"/>
      <c r="BW29" s="12"/>
      <c r="BX29" s="12"/>
      <c r="BY29" s="12"/>
      <c r="BZ29" s="1260" t="s">
        <v>98</v>
      </c>
      <c r="CA29" s="1261"/>
      <c r="CB29" s="1261"/>
      <c r="CC29" s="1262"/>
      <c r="CD29" s="12"/>
      <c r="CE29" s="1260" t="s">
        <v>98</v>
      </c>
      <c r="CF29" s="1261"/>
      <c r="CG29" s="1261"/>
      <c r="CH29" s="1262"/>
      <c r="CI29" s="13"/>
    </row>
    <row r="30" spans="1:87" ht="23.25" customHeight="1">
      <c r="A30" s="1312"/>
      <c r="B30" s="1305">
        <f>入力画面!C22</f>
        <v>0</v>
      </c>
      <c r="C30" s="1300"/>
      <c r="D30" s="1309">
        <f>IF(F30&gt;0,"様",0)</f>
        <v>0</v>
      </c>
      <c r="E30" s="1321" t="s">
        <v>75</v>
      </c>
      <c r="F30" s="1323">
        <f>IF(AE1&gt;0,0,'医療分・支援・子供・介護分（印刷））'!U40+'医療分・支援・子供・介護分（印刷））'!U129+'医療分・支援・子供・介護分（印刷））'!U217+'医療分・支援・子供・介護分（印刷））'!U306)</f>
        <v>0</v>
      </c>
      <c r="G30" s="1325" t="s">
        <v>6</v>
      </c>
      <c r="H30" s="82" t="s">
        <v>34</v>
      </c>
      <c r="I30" s="29">
        <f>IF($AE$1&gt;0,0,'医療分・支援・子供・介護分（印刷））'!X36)</f>
        <v>0</v>
      </c>
      <c r="J30" s="30" t="s">
        <v>39</v>
      </c>
      <c r="K30" s="29">
        <f>IF($AE$1&gt;0,0,'医療分・支援・子供・介護分（印刷））'!Z36)</f>
        <v>0</v>
      </c>
      <c r="L30" s="28" t="s">
        <v>34</v>
      </c>
      <c r="M30" s="29">
        <f>IF($AE$1&gt;0,0,'医療分・支援・子供・介護分（印刷））'!X125)</f>
        <v>0</v>
      </c>
      <c r="N30" s="30" t="s">
        <v>39</v>
      </c>
      <c r="O30" s="31">
        <f>IF($AE$1&gt;0,0,'医療分・支援・子供・介護分（印刷））'!Z125)</f>
        <v>0</v>
      </c>
      <c r="P30" s="28" t="s">
        <v>34</v>
      </c>
      <c r="Q30" s="29">
        <f>IF($AE$1&gt;0,0,'医療分・支援・子供・介護分（印刷））'!X213)</f>
        <v>0</v>
      </c>
      <c r="R30" s="30" t="s">
        <v>39</v>
      </c>
      <c r="S30" s="29">
        <f>IF($AE$1&gt;0,0,'医療分・支援・子供・介護分（印刷））'!Z213)</f>
        <v>0</v>
      </c>
      <c r="T30" s="28" t="s">
        <v>34</v>
      </c>
      <c r="U30" s="29">
        <f>IF($AE$1&gt;0,0,'医療分・支援・子供・介護分（印刷））'!X302)</f>
        <v>0</v>
      </c>
      <c r="V30" s="30" t="s">
        <v>39</v>
      </c>
      <c r="W30" s="29">
        <f>IF($AE$1&gt;0,0,'医療分・支援・子供・介護分（印刷））'!Z302)</f>
        <v>0</v>
      </c>
      <c r="X30" s="258" t="s">
        <v>34</v>
      </c>
      <c r="Y30" s="259">
        <f>I30+M30+Q30+U30</f>
        <v>0</v>
      </c>
      <c r="Z30" s="260" t="s">
        <v>39</v>
      </c>
      <c r="AA30" s="261">
        <f>K30+O30+S30+W30</f>
        <v>0</v>
      </c>
      <c r="AE30" s="56"/>
      <c r="AF30" s="50"/>
      <c r="AG30" s="1263"/>
      <c r="AH30" s="1264"/>
      <c r="AI30" s="50"/>
      <c r="AJ30" s="12"/>
      <c r="AK30" s="28" t="s">
        <v>34</v>
      </c>
      <c r="AL30" s="29">
        <f>Y30</f>
        <v>0</v>
      </c>
      <c r="AM30" s="30" t="s">
        <v>39</v>
      </c>
      <c r="AN30" s="31">
        <f>Y30+Y31+Y32+Y33+Y34+Y35+AA30</f>
        <v>0</v>
      </c>
      <c r="AO30" s="12"/>
      <c r="AP30" s="28" t="s">
        <v>34</v>
      </c>
      <c r="AQ30" s="29">
        <f>IF($AG$6=$AL$6,AL30,0)</f>
        <v>0</v>
      </c>
      <c r="AR30" s="30" t="s">
        <v>39</v>
      </c>
      <c r="AS30" s="31">
        <f>IF($AG$6=$AN$6,AN30,0)</f>
        <v>0</v>
      </c>
      <c r="AT30" s="12"/>
      <c r="AU30" s="12"/>
      <c r="AV30" s="12"/>
      <c r="AW30" s="28" t="s">
        <v>34</v>
      </c>
      <c r="AX30" s="29">
        <f t="shared" ref="AX30:AX35" si="18">AX22</f>
        <v>0</v>
      </c>
      <c r="AY30" s="30" t="s">
        <v>39</v>
      </c>
      <c r="AZ30" s="31">
        <f>AZ22</f>
        <v>0</v>
      </c>
      <c r="BA30" s="12"/>
      <c r="BB30" s="28" t="s">
        <v>34</v>
      </c>
      <c r="BC30" s="29">
        <f t="shared" ref="BC30:BC35" si="19">IF(AX30=1,AL30,0)</f>
        <v>0</v>
      </c>
      <c r="BD30" s="30" t="s">
        <v>39</v>
      </c>
      <c r="BE30" s="31">
        <f>IF(AZ30=1,AN30,0)</f>
        <v>0</v>
      </c>
      <c r="BG30" s="12"/>
      <c r="BH30" s="56"/>
      <c r="BI30" s="50"/>
      <c r="BJ30" s="1263"/>
      <c r="BK30" s="1264"/>
      <c r="BL30" s="50"/>
      <c r="BM30" s="12"/>
      <c r="BN30" s="28" t="s">
        <v>34</v>
      </c>
      <c r="BO30" s="672">
        <f>Y30+Y31+Y32+Y33+Y34+Y35+AA30+AA31+AA32+AA33</f>
        <v>0</v>
      </c>
      <c r="BP30" s="30" t="s">
        <v>39</v>
      </c>
      <c r="BQ30" s="674">
        <f>SUM(AA30:AA33)</f>
        <v>0</v>
      </c>
      <c r="BR30" s="12"/>
      <c r="BS30" s="28" t="s">
        <v>34</v>
      </c>
      <c r="BT30" s="29">
        <f>IF($BJ$6=$BO$6,BO30,0)</f>
        <v>0</v>
      </c>
      <c r="BU30" s="30" t="s">
        <v>39</v>
      </c>
      <c r="BV30" s="31">
        <f>IF($BJ$6=$BQ$6,BQ30,0)</f>
        <v>0</v>
      </c>
      <c r="BW30" s="12"/>
      <c r="BX30" s="12"/>
      <c r="BY30" s="12"/>
      <c r="BZ30" s="28" t="s">
        <v>34</v>
      </c>
      <c r="CA30" s="29">
        <f t="shared" ref="CA30:CA35" si="20">CA22</f>
        <v>0</v>
      </c>
      <c r="CB30" s="30" t="s">
        <v>39</v>
      </c>
      <c r="CC30" s="31">
        <f>CC22</f>
        <v>0</v>
      </c>
      <c r="CD30" s="12"/>
      <c r="CE30" s="28" t="s">
        <v>34</v>
      </c>
      <c r="CF30" s="29">
        <f t="shared" ref="CF30:CF35" si="21">IF(CA30=1,BO30,0)</f>
        <v>0</v>
      </c>
      <c r="CG30" s="30" t="s">
        <v>39</v>
      </c>
      <c r="CH30" s="31">
        <f>IF(CC30=1,BQ30,0)</f>
        <v>0</v>
      </c>
      <c r="CI30" s="13"/>
    </row>
    <row r="31" spans="1:87" ht="23.25" customHeight="1">
      <c r="A31" s="1312"/>
      <c r="B31" s="1306"/>
      <c r="C31" s="1307"/>
      <c r="D31" s="1310"/>
      <c r="E31" s="1322"/>
      <c r="F31" s="1324"/>
      <c r="G31" s="1326"/>
      <c r="H31" s="82" t="s">
        <v>35</v>
      </c>
      <c r="I31" s="29">
        <f>IF($AE$1&gt;0,0,'医療分・支援・子供・介護分（印刷））'!X37)</f>
        <v>0</v>
      </c>
      <c r="J31" s="30" t="s">
        <v>40</v>
      </c>
      <c r="K31" s="29">
        <f>IF($AE$1&gt;0,0,'医療分・支援・子供・介護分（印刷））'!Z37)</f>
        <v>0</v>
      </c>
      <c r="L31" s="28" t="s">
        <v>35</v>
      </c>
      <c r="M31" s="29">
        <f>IF($AE$1&gt;0,0,'医療分・支援・子供・介護分（印刷））'!X126)</f>
        <v>0</v>
      </c>
      <c r="N31" s="30" t="s">
        <v>40</v>
      </c>
      <c r="O31" s="31">
        <f>IF($AE$1&gt;0,0,'医療分・支援・子供・介護分（印刷））'!Z126)</f>
        <v>0</v>
      </c>
      <c r="P31" s="28" t="s">
        <v>35</v>
      </c>
      <c r="Q31" s="29">
        <f>IF($AE$1&gt;0,0,'医療分・支援・子供・介護分（印刷））'!X214)</f>
        <v>0</v>
      </c>
      <c r="R31" s="30" t="s">
        <v>40</v>
      </c>
      <c r="S31" s="29">
        <f>IF($AE$1&gt;0,0,'医療分・支援・子供・介護分（印刷））'!Z214)</f>
        <v>0</v>
      </c>
      <c r="T31" s="28" t="s">
        <v>35</v>
      </c>
      <c r="U31" s="29">
        <f>IF($AE$1&gt;0,0,'医療分・支援・子供・介護分（印刷））'!X303)</f>
        <v>0</v>
      </c>
      <c r="V31" s="30" t="s">
        <v>40</v>
      </c>
      <c r="W31" s="29">
        <f>IF($AE$1&gt;0,0,'医療分・支援・子供・介護分（印刷））'!Z303)</f>
        <v>0</v>
      </c>
      <c r="X31" s="262" t="s">
        <v>35</v>
      </c>
      <c r="Y31" s="125">
        <f t="shared" ref="Y31:Y35" si="22">I31+M31+Q31+U31</f>
        <v>0</v>
      </c>
      <c r="Z31" s="126" t="s">
        <v>40</v>
      </c>
      <c r="AA31" s="127">
        <f>K31+O31+S31+W31</f>
        <v>0</v>
      </c>
      <c r="AE31" s="56"/>
      <c r="AF31" s="12"/>
      <c r="AG31" s="1251"/>
      <c r="AH31" s="1252"/>
      <c r="AI31" s="50"/>
      <c r="AJ31" s="12"/>
      <c r="AK31" s="28" t="s">
        <v>35</v>
      </c>
      <c r="AL31" s="29">
        <f>SUM(Y30:Y31)</f>
        <v>0</v>
      </c>
      <c r="AM31" s="30" t="s">
        <v>40</v>
      </c>
      <c r="AN31" s="31">
        <f>Y30+Y31+Y32+Y33+Y34+Y35+AA30+AA31</f>
        <v>0</v>
      </c>
      <c r="AO31" s="12"/>
      <c r="AP31" s="28" t="s">
        <v>35</v>
      </c>
      <c r="AQ31" s="29">
        <f>IF($AG$6=$AL$7,AL31,0)</f>
        <v>0</v>
      </c>
      <c r="AR31" s="30" t="s">
        <v>40</v>
      </c>
      <c r="AS31" s="31">
        <f>IF($AG$6=$AN$7,AN31,0)</f>
        <v>0</v>
      </c>
      <c r="AT31" s="12"/>
      <c r="AU31" s="12"/>
      <c r="AV31" s="12"/>
      <c r="AW31" s="28" t="s">
        <v>35</v>
      </c>
      <c r="AX31" s="29">
        <f t="shared" si="18"/>
        <v>0</v>
      </c>
      <c r="AY31" s="30" t="s">
        <v>40</v>
      </c>
      <c r="AZ31" s="31">
        <f>AZ23</f>
        <v>0</v>
      </c>
      <c r="BA31" s="12"/>
      <c r="BB31" s="28" t="s">
        <v>35</v>
      </c>
      <c r="BC31" s="29">
        <f t="shared" si="19"/>
        <v>0</v>
      </c>
      <c r="BD31" s="30" t="s">
        <v>40</v>
      </c>
      <c r="BE31" s="31">
        <f>IF(AZ31=1,AN31,0)</f>
        <v>0</v>
      </c>
      <c r="BG31" s="12"/>
      <c r="BH31" s="56"/>
      <c r="BI31" s="12"/>
      <c r="BJ31" s="1251"/>
      <c r="BK31" s="1252"/>
      <c r="BL31" s="50"/>
      <c r="BM31" s="12"/>
      <c r="BN31" s="28" t="s">
        <v>35</v>
      </c>
      <c r="BO31" s="672">
        <f>Y31+Y32+Y33+Y34+Y35+AA30+AA31+AA32+AA33</f>
        <v>0</v>
      </c>
      <c r="BP31" s="30" t="s">
        <v>40</v>
      </c>
      <c r="BQ31" s="674">
        <f>SUM(AA31:AA33)</f>
        <v>0</v>
      </c>
      <c r="BR31" s="12"/>
      <c r="BS31" s="28" t="s">
        <v>35</v>
      </c>
      <c r="BT31" s="29">
        <f>IF($BJ$6=$BO$7,BO31,0)</f>
        <v>0</v>
      </c>
      <c r="BU31" s="30" t="s">
        <v>40</v>
      </c>
      <c r="BV31" s="31">
        <f>IF($BJ$6=$BQ$7,BQ31,0)</f>
        <v>0</v>
      </c>
      <c r="BW31" s="12"/>
      <c r="BX31" s="12"/>
      <c r="BY31" s="12"/>
      <c r="BZ31" s="28" t="s">
        <v>35</v>
      </c>
      <c r="CA31" s="29">
        <f t="shared" si="20"/>
        <v>0</v>
      </c>
      <c r="CB31" s="30" t="s">
        <v>40</v>
      </c>
      <c r="CC31" s="31">
        <f>CC23</f>
        <v>0</v>
      </c>
      <c r="CD31" s="12"/>
      <c r="CE31" s="28" t="s">
        <v>35</v>
      </c>
      <c r="CF31" s="29">
        <f t="shared" si="21"/>
        <v>0</v>
      </c>
      <c r="CG31" s="30" t="s">
        <v>40</v>
      </c>
      <c r="CH31" s="31">
        <f>IF(CC31=1,BQ31,0)</f>
        <v>0</v>
      </c>
      <c r="CI31" s="13"/>
    </row>
    <row r="32" spans="1:87" ht="23.25" customHeight="1">
      <c r="A32" s="1299">
        <f>入力画面!$L$9</f>
        <v>0</v>
      </c>
      <c r="B32" s="1300"/>
      <c r="C32" s="1300"/>
      <c r="D32" s="1301"/>
      <c r="E32" s="1297" t="s">
        <v>97</v>
      </c>
      <c r="F32" s="1327">
        <f>BD34+CG34</f>
        <v>0</v>
      </c>
      <c r="G32" s="1329" t="s">
        <v>6</v>
      </c>
      <c r="H32" s="82" t="s">
        <v>36</v>
      </c>
      <c r="I32" s="29">
        <f>IF($AE$1&gt;0,0,'医療分・支援・子供・介護分（印刷））'!X38)</f>
        <v>0</v>
      </c>
      <c r="J32" s="30" t="s">
        <v>41</v>
      </c>
      <c r="K32" s="29">
        <f>IF($AE$1&gt;0,0,'医療分・支援・子供・介護分（印刷））'!Z38)</f>
        <v>0</v>
      </c>
      <c r="L32" s="28" t="s">
        <v>36</v>
      </c>
      <c r="M32" s="29">
        <f>IF($AE$1&gt;0,0,'医療分・支援・子供・介護分（印刷））'!X127)</f>
        <v>0</v>
      </c>
      <c r="N32" s="30" t="s">
        <v>41</v>
      </c>
      <c r="O32" s="31">
        <f>IF($AE$1&gt;0,0,'医療分・支援・子供・介護分（印刷））'!Z127)</f>
        <v>0</v>
      </c>
      <c r="P32" s="28" t="s">
        <v>36</v>
      </c>
      <c r="Q32" s="29">
        <f>IF($AE$1&gt;0,0,'医療分・支援・子供・介護分（印刷））'!X215)</f>
        <v>0</v>
      </c>
      <c r="R32" s="30" t="s">
        <v>41</v>
      </c>
      <c r="S32" s="29">
        <f>IF($AE$1&gt;0,0,'医療分・支援・子供・介護分（印刷））'!Z215)</f>
        <v>0</v>
      </c>
      <c r="T32" s="28" t="s">
        <v>36</v>
      </c>
      <c r="U32" s="29">
        <f>IF($AE$1&gt;0,0,'医療分・支援・子供・介護分（印刷））'!X304)</f>
        <v>0</v>
      </c>
      <c r="V32" s="30" t="s">
        <v>41</v>
      </c>
      <c r="W32" s="29">
        <f>IF($AE$1&gt;0,0,'医療分・支援・子供・介護分（印刷））'!Z304)</f>
        <v>0</v>
      </c>
      <c r="X32" s="262" t="s">
        <v>36</v>
      </c>
      <c r="Y32" s="125">
        <f t="shared" si="22"/>
        <v>0</v>
      </c>
      <c r="Z32" s="126" t="s">
        <v>41</v>
      </c>
      <c r="AA32" s="127">
        <f>K32+O32+S32+W32</f>
        <v>0</v>
      </c>
      <c r="AE32" s="56"/>
      <c r="AF32" s="12"/>
      <c r="AG32" s="1251"/>
      <c r="AH32" s="1252"/>
      <c r="AI32" s="50"/>
      <c r="AJ32" s="12"/>
      <c r="AK32" s="28" t="s">
        <v>36</v>
      </c>
      <c r="AL32" s="29">
        <f>SUM(Y30:Y32)</f>
        <v>0</v>
      </c>
      <c r="AM32" s="30" t="s">
        <v>41</v>
      </c>
      <c r="AN32" s="31">
        <f>Y30+Y31+Y32+Y33+Y34+Y35+AA30+AA31+AA32</f>
        <v>0</v>
      </c>
      <c r="AO32" s="12"/>
      <c r="AP32" s="28" t="s">
        <v>36</v>
      </c>
      <c r="AQ32" s="29">
        <f>IF($AG$6=$AL$8,AL32,0)</f>
        <v>0</v>
      </c>
      <c r="AR32" s="30" t="s">
        <v>41</v>
      </c>
      <c r="AS32" s="31">
        <f>IF($AG$6=$AN$8,AN32,0)</f>
        <v>0</v>
      </c>
      <c r="AT32" s="12"/>
      <c r="AU32" s="12"/>
      <c r="AV32" s="12"/>
      <c r="AW32" s="28" t="s">
        <v>36</v>
      </c>
      <c r="AX32" s="29">
        <f t="shared" si="18"/>
        <v>0</v>
      </c>
      <c r="AY32" s="30" t="s">
        <v>41</v>
      </c>
      <c r="AZ32" s="31">
        <f>AZ24</f>
        <v>0</v>
      </c>
      <c r="BA32" s="12"/>
      <c r="BB32" s="28" t="s">
        <v>36</v>
      </c>
      <c r="BC32" s="29">
        <f t="shared" si="19"/>
        <v>0</v>
      </c>
      <c r="BD32" s="30" t="s">
        <v>41</v>
      </c>
      <c r="BE32" s="31">
        <f>IF(AZ32=1,AN32,0)</f>
        <v>0</v>
      </c>
      <c r="BG32" s="12"/>
      <c r="BH32" s="56"/>
      <c r="BI32" s="12"/>
      <c r="BJ32" s="1251"/>
      <c r="BK32" s="1252"/>
      <c r="BL32" s="50"/>
      <c r="BM32" s="12"/>
      <c r="BN32" s="28" t="s">
        <v>36</v>
      </c>
      <c r="BO32" s="672">
        <f>Y32+Y33+Y34+Y35+AA30+AA31+AA32+AA33</f>
        <v>0</v>
      </c>
      <c r="BP32" s="30" t="s">
        <v>41</v>
      </c>
      <c r="BQ32" s="674">
        <f>SUM(AA32:AA33)</f>
        <v>0</v>
      </c>
      <c r="BR32" s="12"/>
      <c r="BS32" s="28" t="s">
        <v>36</v>
      </c>
      <c r="BT32" s="29">
        <f>IF($BJ$6=$BO$8,BO32,0)</f>
        <v>0</v>
      </c>
      <c r="BU32" s="30" t="s">
        <v>41</v>
      </c>
      <c r="BV32" s="31">
        <f>IF($BJ$6=$BQ$8,BQ32,0)</f>
        <v>0</v>
      </c>
      <c r="BW32" s="12"/>
      <c r="BX32" s="12"/>
      <c r="BY32" s="12"/>
      <c r="BZ32" s="28" t="s">
        <v>36</v>
      </c>
      <c r="CA32" s="29">
        <f t="shared" si="20"/>
        <v>0</v>
      </c>
      <c r="CB32" s="30" t="s">
        <v>41</v>
      </c>
      <c r="CC32" s="31">
        <f>CC24</f>
        <v>0</v>
      </c>
      <c r="CD32" s="12"/>
      <c r="CE32" s="28" t="s">
        <v>36</v>
      </c>
      <c r="CF32" s="29">
        <f t="shared" si="21"/>
        <v>0</v>
      </c>
      <c r="CG32" s="30" t="s">
        <v>41</v>
      </c>
      <c r="CH32" s="31">
        <f>IF(CC32=1,BQ32,0)</f>
        <v>0</v>
      </c>
      <c r="CI32" s="13"/>
    </row>
    <row r="33" spans="1:87" ht="23.25" customHeight="1">
      <c r="A33" s="1302"/>
      <c r="B33" s="1303"/>
      <c r="C33" s="1303"/>
      <c r="D33" s="1304"/>
      <c r="E33" s="1298"/>
      <c r="F33" s="1328"/>
      <c r="G33" s="1329"/>
      <c r="H33" s="82" t="s">
        <v>43</v>
      </c>
      <c r="I33" s="29">
        <f>IF($AE$1&gt;0,0,'医療分・支援・子供・介護分（印刷））'!X39)</f>
        <v>0</v>
      </c>
      <c r="J33" s="30" t="s">
        <v>42</v>
      </c>
      <c r="K33" s="29">
        <f>IF($AE$1&gt;0,0,'医療分・支援・子供・介護分（印刷））'!Z39)</f>
        <v>0</v>
      </c>
      <c r="L33" s="28" t="s">
        <v>43</v>
      </c>
      <c r="M33" s="29">
        <f>IF($AE$1&gt;0,0,'医療分・支援・子供・介護分（印刷））'!X128)</f>
        <v>0</v>
      </c>
      <c r="N33" s="30" t="s">
        <v>42</v>
      </c>
      <c r="O33" s="31">
        <f>IF($AE$1&gt;0,0,'医療分・支援・子供・介護分（印刷））'!Z128)</f>
        <v>0</v>
      </c>
      <c r="P33" s="28" t="s">
        <v>43</v>
      </c>
      <c r="Q33" s="29">
        <f>IF($AE$1&gt;0,0,'医療分・支援・子供・介護分（印刷））'!X216)</f>
        <v>0</v>
      </c>
      <c r="R33" s="30" t="s">
        <v>42</v>
      </c>
      <c r="S33" s="29">
        <f>IF($AE$1&gt;0,0,'医療分・支援・子供・介護分（印刷））'!Z216)</f>
        <v>0</v>
      </c>
      <c r="T33" s="28" t="s">
        <v>43</v>
      </c>
      <c r="U33" s="29">
        <f>IF($AE$1&gt;0,0,'医療分・支援・子供・介護分（印刷））'!X305)</f>
        <v>0</v>
      </c>
      <c r="V33" s="30" t="s">
        <v>42</v>
      </c>
      <c r="W33" s="29">
        <f>IF($AE$1&gt;0,0,'医療分・支援・子供・介護分（印刷））'!Z305)</f>
        <v>0</v>
      </c>
      <c r="X33" s="262" t="s">
        <v>43</v>
      </c>
      <c r="Y33" s="125">
        <f t="shared" si="22"/>
        <v>0</v>
      </c>
      <c r="Z33" s="263" t="s">
        <v>42</v>
      </c>
      <c r="AA33" s="127">
        <f t="shared" ref="AA33" si="23">K33+O33+S33+W33</f>
        <v>0</v>
      </c>
      <c r="AE33" s="56"/>
      <c r="AF33" s="12"/>
      <c r="AG33" s="1259"/>
      <c r="AH33" s="1259"/>
      <c r="AI33" s="1259"/>
      <c r="AJ33" s="12"/>
      <c r="AK33" s="28" t="s">
        <v>43</v>
      </c>
      <c r="AL33" s="29">
        <f>SUM(Y30:Y33)</f>
        <v>0</v>
      </c>
      <c r="AM33" s="133" t="s">
        <v>93</v>
      </c>
      <c r="AN33" s="144">
        <f>Y30+Y31+Y32+Y33+Y34+Y35+AA30+AA31+AA32+AA33</f>
        <v>0</v>
      </c>
      <c r="AO33" s="12"/>
      <c r="AP33" s="28" t="s">
        <v>43</v>
      </c>
      <c r="AQ33" s="29">
        <f>IF($AG$6=$AL$9,AL33,0)</f>
        <v>0</v>
      </c>
      <c r="AR33" s="133" t="s">
        <v>93</v>
      </c>
      <c r="AS33" s="31">
        <f>IF($AG$6=$AN$9,AN33,0)</f>
        <v>0</v>
      </c>
      <c r="AT33" s="12"/>
      <c r="AU33" s="12"/>
      <c r="AV33" s="12"/>
      <c r="AW33" s="28" t="s">
        <v>43</v>
      </c>
      <c r="AX33" s="29">
        <f t="shared" si="18"/>
        <v>0</v>
      </c>
      <c r="AY33" s="133" t="s">
        <v>93</v>
      </c>
      <c r="AZ33" s="31">
        <f>AZ25</f>
        <v>0</v>
      </c>
      <c r="BA33" s="12"/>
      <c r="BB33" s="28" t="s">
        <v>43</v>
      </c>
      <c r="BC33" s="29">
        <f t="shared" si="19"/>
        <v>0</v>
      </c>
      <c r="BD33" s="133" t="s">
        <v>93</v>
      </c>
      <c r="BE33" s="31">
        <f>IF(AZ33=1,AN33,0)</f>
        <v>0</v>
      </c>
      <c r="BG33" s="12"/>
      <c r="BH33" s="56"/>
      <c r="BI33" s="12"/>
      <c r="BJ33" s="1259"/>
      <c r="BK33" s="1259"/>
      <c r="BL33" s="1259"/>
      <c r="BM33" s="12"/>
      <c r="BN33" s="28" t="s">
        <v>43</v>
      </c>
      <c r="BO33" s="672">
        <f>Y33+Y34+Y35+AA30+AA31+AA32+AA33</f>
        <v>0</v>
      </c>
      <c r="BP33" s="30" t="s">
        <v>42</v>
      </c>
      <c r="BQ33" s="676">
        <f>AA33</f>
        <v>0</v>
      </c>
      <c r="BR33" s="12"/>
      <c r="BS33" s="28" t="s">
        <v>43</v>
      </c>
      <c r="BT33" s="29">
        <f>IF($BJ$6=$BO$9,BO33,0)</f>
        <v>0</v>
      </c>
      <c r="BU33" s="133" t="s">
        <v>93</v>
      </c>
      <c r="BV33" s="31">
        <f>IF($BJ$6=$BQ$9,BQ33,0)</f>
        <v>0</v>
      </c>
      <c r="BW33" s="12"/>
      <c r="BX33" s="12"/>
      <c r="BY33" s="12"/>
      <c r="BZ33" s="28" t="s">
        <v>43</v>
      </c>
      <c r="CA33" s="29">
        <f t="shared" si="20"/>
        <v>0</v>
      </c>
      <c r="CB33" s="133" t="s">
        <v>93</v>
      </c>
      <c r="CC33" s="31">
        <f>CC25</f>
        <v>0</v>
      </c>
      <c r="CD33" s="12"/>
      <c r="CE33" s="28" t="s">
        <v>43</v>
      </c>
      <c r="CF33" s="29">
        <f t="shared" si="21"/>
        <v>0</v>
      </c>
      <c r="CG33" s="133" t="s">
        <v>93</v>
      </c>
      <c r="CH33" s="31">
        <f>IF(CC33=1,BQ33,0)</f>
        <v>0</v>
      </c>
      <c r="CI33" s="13"/>
    </row>
    <row r="34" spans="1:87" ht="23.25" customHeight="1">
      <c r="A34" s="1285">
        <f>IF((U31+U32+U33+U34+U35+W30+W31+W32+W33)&lt;0,"介護該当者は①から順に入力してください｡",0)</f>
        <v>0</v>
      </c>
      <c r="B34" s="1286"/>
      <c r="C34" s="1286"/>
      <c r="D34" s="1287"/>
      <c r="E34" s="1291">
        <f>IF(AU34=1,"＊入金額エラー＊",0)</f>
        <v>0</v>
      </c>
      <c r="F34" s="1292"/>
      <c r="G34" s="1293"/>
      <c r="H34" s="82" t="s">
        <v>37</v>
      </c>
      <c r="I34" s="29">
        <f>IF($AE$1&gt;0,0,'医療分・支援・子供・介護分（印刷））'!X40)</f>
        <v>0</v>
      </c>
      <c r="J34" s="1313" t="s">
        <v>44</v>
      </c>
      <c r="K34" s="1317">
        <f>IF(AE1&gt;0,0,'医療分・支援・子供・介護分（印刷））'!Z40)</f>
        <v>0</v>
      </c>
      <c r="L34" s="28" t="s">
        <v>37</v>
      </c>
      <c r="M34" s="29">
        <f>IF($AE$1&gt;0,0,'医療分・支援・子供・介護分（印刷））'!X129)</f>
        <v>0</v>
      </c>
      <c r="N34" s="1313" t="s">
        <v>44</v>
      </c>
      <c r="O34" s="1315">
        <f>IF($AE$1&gt;0,0,'医療分・支援・子供・介護分（印刷））'!Z129)</f>
        <v>0</v>
      </c>
      <c r="P34" s="28" t="s">
        <v>37</v>
      </c>
      <c r="Q34" s="29">
        <f>IF($AE$1&gt;0,0,'医療分・支援・子供・介護分（印刷））'!X217)</f>
        <v>0</v>
      </c>
      <c r="R34" s="1313" t="s">
        <v>44</v>
      </c>
      <c r="S34" s="1315">
        <f>IF(AE1&gt;0,0,'医療分・支援・子供・介護分（印刷））'!Z217)</f>
        <v>0</v>
      </c>
      <c r="T34" s="28" t="s">
        <v>37</v>
      </c>
      <c r="U34" s="29">
        <f>IF($AE$1&gt;0,0,'医療分・支援・子供・介護分（印刷））'!X306)</f>
        <v>0</v>
      </c>
      <c r="V34" s="1313" t="s">
        <v>44</v>
      </c>
      <c r="W34" s="1315">
        <f>IF(AI1&gt;0,0,'医療分・支援・子供・介護分（印刷））'!Z306)</f>
        <v>0</v>
      </c>
      <c r="X34" s="262" t="s">
        <v>37</v>
      </c>
      <c r="Y34" s="125">
        <f t="shared" si="22"/>
        <v>0</v>
      </c>
      <c r="Z34" s="1319" t="s">
        <v>44</v>
      </c>
      <c r="AA34" s="1280">
        <f>K34+O34+S34+W34</f>
        <v>0</v>
      </c>
      <c r="AE34" s="56"/>
      <c r="AF34" s="12"/>
      <c r="AG34" s="1251"/>
      <c r="AH34" s="1252"/>
      <c r="AI34" s="50"/>
      <c r="AJ34" s="12"/>
      <c r="AK34" s="28" t="s">
        <v>37</v>
      </c>
      <c r="AL34" s="81">
        <f>SUM(Y30:Y34)</f>
        <v>0</v>
      </c>
      <c r="AM34" s="1253"/>
      <c r="AN34" s="1255"/>
      <c r="AO34" s="12"/>
      <c r="AP34" s="28" t="s">
        <v>37</v>
      </c>
      <c r="AQ34" s="29">
        <f>IF($AG$6=$AL$10,AL34,0)</f>
        <v>0</v>
      </c>
      <c r="AR34" s="1247">
        <f>AQ30+AQ31+AQ32+AQ33+AQ34+AQ35+AS30+AS31+AS32+AS33</f>
        <v>0</v>
      </c>
      <c r="AS34" s="1248"/>
      <c r="AT34" s="1257" t="str">
        <f>IF(AL30=0,"－",IF(AR34&lt;AG30,"エラー",0))</f>
        <v>－</v>
      </c>
      <c r="AU34" s="1257">
        <f>IF(AT34="エラー",1,0)</f>
        <v>0</v>
      </c>
      <c r="AV34" s="12"/>
      <c r="AW34" s="28" t="s">
        <v>37</v>
      </c>
      <c r="AX34" s="29">
        <f t="shared" si="18"/>
        <v>0</v>
      </c>
      <c r="AY34" s="1247"/>
      <c r="AZ34" s="1248"/>
      <c r="BA34" s="12"/>
      <c r="BB34" s="28" t="s">
        <v>37</v>
      </c>
      <c r="BC34" s="29">
        <f t="shared" si="19"/>
        <v>0</v>
      </c>
      <c r="BD34" s="1247">
        <f>BC30+BC31+BC32+BC33+BC34+BC35+BE30+BE31+BE32+BE33</f>
        <v>0</v>
      </c>
      <c r="BE34" s="1248"/>
      <c r="BG34" s="12"/>
      <c r="BH34" s="56"/>
      <c r="BI34" s="12"/>
      <c r="BJ34" s="1251"/>
      <c r="BK34" s="1252"/>
      <c r="BL34" s="50"/>
      <c r="BM34" s="12"/>
      <c r="BN34" s="28" t="s">
        <v>37</v>
      </c>
      <c r="BO34" s="677">
        <f>Y34+Y35+AA30+AA31+AA32+AA33</f>
        <v>0</v>
      </c>
      <c r="BP34" s="1253"/>
      <c r="BQ34" s="1255"/>
      <c r="BR34" s="12"/>
      <c r="BS34" s="28" t="s">
        <v>37</v>
      </c>
      <c r="BT34" s="29">
        <f>IF($BJ$6=$BO$10,BO34,0)</f>
        <v>0</v>
      </c>
      <c r="BU34" s="1247">
        <f>BT30+BT31+BT32+BT33+BT34+BT35+BV30+BV31+BV32+BV33</f>
        <v>0</v>
      </c>
      <c r="BV34" s="1248"/>
      <c r="BW34" s="1257" t="str">
        <f>IF(BO30=0,"－",IF(BU34&lt;BJ30,"エラー",0))</f>
        <v>－</v>
      </c>
      <c r="BX34" s="1257">
        <f>IF(BW34="エラー",1,0)</f>
        <v>0</v>
      </c>
      <c r="BY34" s="12"/>
      <c r="BZ34" s="28" t="s">
        <v>37</v>
      </c>
      <c r="CA34" s="29">
        <f t="shared" si="20"/>
        <v>0</v>
      </c>
      <c r="CB34" s="1247"/>
      <c r="CC34" s="1248"/>
      <c r="CD34" s="12"/>
      <c r="CE34" s="28" t="s">
        <v>37</v>
      </c>
      <c r="CF34" s="29">
        <f t="shared" si="21"/>
        <v>0</v>
      </c>
      <c r="CG34" s="1247">
        <f>CF30+CF31+CF32+CF33+CF34+CF35+CH30+CH31+CH32+CH33</f>
        <v>0</v>
      </c>
      <c r="CH34" s="1248"/>
      <c r="CI34" s="13"/>
    </row>
    <row r="35" spans="1:87" ht="23.25" customHeight="1">
      <c r="A35" s="1288"/>
      <c r="B35" s="1289"/>
      <c r="C35" s="1289"/>
      <c r="D35" s="1290"/>
      <c r="E35" s="1294"/>
      <c r="F35" s="1295"/>
      <c r="G35" s="1296"/>
      <c r="H35" s="128" t="s">
        <v>38</v>
      </c>
      <c r="I35" s="66">
        <f>IF($AE$1&gt;0,0,'医療分・支援・子供・介護分（印刷））'!X41)</f>
        <v>0</v>
      </c>
      <c r="J35" s="1314"/>
      <c r="K35" s="1318"/>
      <c r="L35" s="65" t="s">
        <v>38</v>
      </c>
      <c r="M35" s="66">
        <f>IF($AE$1&gt;0,0,'医療分・支援・子供・介護分（印刷））'!X130)</f>
        <v>0</v>
      </c>
      <c r="N35" s="1314"/>
      <c r="O35" s="1316"/>
      <c r="P35" s="65" t="s">
        <v>38</v>
      </c>
      <c r="Q35" s="66">
        <f>IF($AE$1&gt;0,0,'医療分・支援・子供・介護分（印刷））'!X218)</f>
        <v>0</v>
      </c>
      <c r="R35" s="1314"/>
      <c r="S35" s="1316"/>
      <c r="T35" s="65" t="s">
        <v>38</v>
      </c>
      <c r="U35" s="66">
        <f>IF($AE$1&gt;0,0,'医療分・支援・子供・介護分（印刷））'!X307)</f>
        <v>0</v>
      </c>
      <c r="V35" s="1314"/>
      <c r="W35" s="1316"/>
      <c r="X35" s="264" t="s">
        <v>38</v>
      </c>
      <c r="Y35" s="129">
        <f t="shared" si="22"/>
        <v>0</v>
      </c>
      <c r="Z35" s="1320"/>
      <c r="AA35" s="1281"/>
      <c r="AC35" s="272" t="str">
        <f>IF(AA34=0,"－",IF(F30=AA34,"ＯＫ","エラー"))</f>
        <v>－</v>
      </c>
      <c r="AE35" s="56"/>
      <c r="AF35" s="12"/>
      <c r="AG35" s="12"/>
      <c r="AH35" s="12"/>
      <c r="AI35" s="12"/>
      <c r="AJ35" s="12"/>
      <c r="AK35" s="65" t="s">
        <v>38</v>
      </c>
      <c r="AL35" s="132">
        <f>SUM(Y30:Y35)</f>
        <v>0</v>
      </c>
      <c r="AM35" s="1254"/>
      <c r="AN35" s="1256"/>
      <c r="AO35" s="12"/>
      <c r="AP35" s="65" t="s">
        <v>38</v>
      </c>
      <c r="AQ35" s="66">
        <f>IF($AG$6=$AL$11,AL35,0)</f>
        <v>0</v>
      </c>
      <c r="AR35" s="1249"/>
      <c r="AS35" s="1250"/>
      <c r="AT35" s="1258"/>
      <c r="AU35" s="1258"/>
      <c r="AV35" s="12"/>
      <c r="AW35" s="65" t="s">
        <v>38</v>
      </c>
      <c r="AX35" s="66">
        <f t="shared" si="18"/>
        <v>0</v>
      </c>
      <c r="AY35" s="1249"/>
      <c r="AZ35" s="1250"/>
      <c r="BA35" s="12"/>
      <c r="BB35" s="65" t="s">
        <v>38</v>
      </c>
      <c r="BC35" s="66">
        <f t="shared" si="19"/>
        <v>0</v>
      </c>
      <c r="BD35" s="1249"/>
      <c r="BE35" s="1250"/>
      <c r="BG35" s="12"/>
      <c r="BH35" s="56"/>
      <c r="BI35" s="12"/>
      <c r="BJ35" s="12"/>
      <c r="BK35" s="12"/>
      <c r="BL35" s="12"/>
      <c r="BM35" s="12"/>
      <c r="BN35" s="65" t="s">
        <v>38</v>
      </c>
      <c r="BO35" s="679">
        <f>Y35+AA30+AA31+AA32+AA33</f>
        <v>0</v>
      </c>
      <c r="BP35" s="1254"/>
      <c r="BQ35" s="1256"/>
      <c r="BR35" s="12"/>
      <c r="BS35" s="65" t="s">
        <v>38</v>
      </c>
      <c r="BT35" s="66">
        <f>IF($BJ$6=$BO$11,BO35,0)</f>
        <v>0</v>
      </c>
      <c r="BU35" s="1249"/>
      <c r="BV35" s="1250"/>
      <c r="BW35" s="1258"/>
      <c r="BX35" s="1258"/>
      <c r="BY35" s="12"/>
      <c r="BZ35" s="65" t="s">
        <v>38</v>
      </c>
      <c r="CA35" s="66">
        <f t="shared" si="20"/>
        <v>0</v>
      </c>
      <c r="CB35" s="1249"/>
      <c r="CC35" s="1250"/>
      <c r="CD35" s="12"/>
      <c r="CE35" s="65" t="s">
        <v>38</v>
      </c>
      <c r="CF35" s="66">
        <f t="shared" si="21"/>
        <v>0</v>
      </c>
      <c r="CG35" s="1249"/>
      <c r="CH35" s="1250"/>
      <c r="CI35" s="13"/>
    </row>
    <row r="36" spans="1:87" ht="9.9499999999999993" customHeight="1">
      <c r="E36" s="68"/>
      <c r="F36" s="68"/>
      <c r="G36" s="18"/>
      <c r="AE36" s="56"/>
      <c r="AF36" s="12"/>
      <c r="AG36" s="12"/>
      <c r="AH36" s="12"/>
      <c r="AI36" s="12"/>
      <c r="AJ36" s="12"/>
      <c r="AK36" s="4"/>
      <c r="AL36" s="4"/>
      <c r="AM36" s="4"/>
      <c r="AN36" s="4"/>
      <c r="AO36" s="12"/>
      <c r="AP36" s="4"/>
      <c r="AQ36" s="4"/>
      <c r="AR36" s="4"/>
      <c r="AS36" s="4"/>
      <c r="AT36" s="12"/>
      <c r="AU36" s="12"/>
      <c r="AV36" s="12"/>
      <c r="AW36" s="4"/>
      <c r="AX36" s="4"/>
      <c r="AY36" s="4"/>
      <c r="AZ36" s="4"/>
      <c r="BA36" s="12"/>
      <c r="BB36" s="4"/>
      <c r="BC36" s="4"/>
      <c r="BD36" s="4"/>
      <c r="BE36" s="4"/>
      <c r="BG36" s="12"/>
      <c r="BH36" s="56"/>
      <c r="BI36" s="12"/>
      <c r="BJ36" s="12"/>
      <c r="BK36" s="12"/>
      <c r="BL36" s="12"/>
      <c r="BM36" s="12"/>
      <c r="BN36" s="4"/>
      <c r="BO36" s="4"/>
      <c r="BP36" s="4"/>
      <c r="BQ36" s="4"/>
      <c r="BR36" s="12"/>
      <c r="BS36" s="4"/>
      <c r="BT36" s="4"/>
      <c r="BU36" s="4"/>
      <c r="BV36" s="4"/>
      <c r="BW36" s="12"/>
      <c r="BX36" s="12"/>
      <c r="BY36" s="12"/>
      <c r="BZ36" s="4"/>
      <c r="CA36" s="4"/>
      <c r="CB36" s="4"/>
      <c r="CC36" s="4"/>
      <c r="CD36" s="12"/>
      <c r="CE36" s="4"/>
      <c r="CF36" s="4"/>
      <c r="CG36" s="4"/>
      <c r="CH36" s="4"/>
      <c r="CI36" s="13"/>
    </row>
    <row r="37" spans="1:87" ht="23.25" customHeight="1">
      <c r="A37" s="1311" t="s">
        <v>154</v>
      </c>
      <c r="B37" s="1308" t="s">
        <v>77</v>
      </c>
      <c r="C37" s="1308"/>
      <c r="D37" s="1308"/>
      <c r="E37" s="1330" t="s">
        <v>82</v>
      </c>
      <c r="F37" s="1331"/>
      <c r="G37" s="1332"/>
      <c r="H37" s="1278" t="s">
        <v>69</v>
      </c>
      <c r="I37" s="1278"/>
      <c r="J37" s="1278"/>
      <c r="K37" s="1278"/>
      <c r="L37" s="1277" t="s">
        <v>159</v>
      </c>
      <c r="M37" s="1278"/>
      <c r="N37" s="1278"/>
      <c r="O37" s="1279"/>
      <c r="P37" s="1277" t="s">
        <v>409</v>
      </c>
      <c r="Q37" s="1278"/>
      <c r="R37" s="1278"/>
      <c r="S37" s="1279"/>
      <c r="T37" s="1277" t="s">
        <v>70</v>
      </c>
      <c r="U37" s="1278"/>
      <c r="V37" s="1278"/>
      <c r="W37" s="1279"/>
      <c r="X37" s="1277" t="s">
        <v>76</v>
      </c>
      <c r="Y37" s="1278"/>
      <c r="Z37" s="1278"/>
      <c r="AA37" s="1279"/>
      <c r="AE37" s="56"/>
      <c r="AF37" s="12"/>
      <c r="AG37" s="12"/>
      <c r="AH37" s="12"/>
      <c r="AI37" s="12"/>
      <c r="AJ37" s="12"/>
      <c r="AK37" s="1260" t="s">
        <v>94</v>
      </c>
      <c r="AL37" s="1261"/>
      <c r="AM37" s="1261"/>
      <c r="AN37" s="1262"/>
      <c r="AO37" s="12"/>
      <c r="AP37" s="1260" t="s">
        <v>95</v>
      </c>
      <c r="AQ37" s="1261"/>
      <c r="AR37" s="1261"/>
      <c r="AS37" s="1262"/>
      <c r="AT37" s="12"/>
      <c r="AU37" s="12"/>
      <c r="AV37" s="12"/>
      <c r="AW37" s="1260" t="s">
        <v>98</v>
      </c>
      <c r="AX37" s="1261"/>
      <c r="AY37" s="1261"/>
      <c r="AZ37" s="1262"/>
      <c r="BA37" s="12"/>
      <c r="BB37" s="1260" t="s">
        <v>98</v>
      </c>
      <c r="BC37" s="1261"/>
      <c r="BD37" s="1261"/>
      <c r="BE37" s="1262"/>
      <c r="BG37" s="12"/>
      <c r="BH37" s="56"/>
      <c r="BI37" s="12"/>
      <c r="BJ37" s="12"/>
      <c r="BK37" s="12"/>
      <c r="BL37" s="12"/>
      <c r="BM37" s="12"/>
      <c r="BN37" s="1260" t="s">
        <v>101</v>
      </c>
      <c r="BO37" s="1261"/>
      <c r="BP37" s="1261"/>
      <c r="BQ37" s="1262"/>
      <c r="BR37" s="12"/>
      <c r="BS37" s="1260" t="s">
        <v>95</v>
      </c>
      <c r="BT37" s="1261"/>
      <c r="BU37" s="1261"/>
      <c r="BV37" s="1262"/>
      <c r="BW37" s="12"/>
      <c r="BX37" s="12"/>
      <c r="BY37" s="12"/>
      <c r="BZ37" s="1260" t="s">
        <v>98</v>
      </c>
      <c r="CA37" s="1261"/>
      <c r="CB37" s="1261"/>
      <c r="CC37" s="1262"/>
      <c r="CD37" s="12"/>
      <c r="CE37" s="1260" t="s">
        <v>98</v>
      </c>
      <c r="CF37" s="1261"/>
      <c r="CG37" s="1261"/>
      <c r="CH37" s="1262"/>
      <c r="CI37" s="13"/>
    </row>
    <row r="38" spans="1:87" ht="23.25" customHeight="1">
      <c r="A38" s="1312"/>
      <c r="B38" s="1305">
        <f>入力画面!C27</f>
        <v>0</v>
      </c>
      <c r="C38" s="1300"/>
      <c r="D38" s="1309">
        <f>IF(F38&gt;0,"様",0)</f>
        <v>0</v>
      </c>
      <c r="E38" s="1321" t="s">
        <v>75</v>
      </c>
      <c r="F38" s="1323">
        <f>IF(AE1&gt;0,0,'医療分・支援・子供・介護分（印刷））'!U50+'医療分・支援・子供・介護分（印刷））'!U139+'医療分・支援・子供・介護分（印刷））'!U227+'医療分・支援・子供・介護分（印刷））'!U316)</f>
        <v>0</v>
      </c>
      <c r="G38" s="1325" t="s">
        <v>6</v>
      </c>
      <c r="H38" s="82" t="s">
        <v>34</v>
      </c>
      <c r="I38" s="29">
        <f>IF($AE$1&gt;0,0,'医療分・支援・子供・介護分（印刷））'!X46)</f>
        <v>0</v>
      </c>
      <c r="J38" s="30" t="s">
        <v>39</v>
      </c>
      <c r="K38" s="29">
        <f>IF($AE$1&gt;0,0,'医療分・支援・子供・介護分（印刷））'!Z46)</f>
        <v>0</v>
      </c>
      <c r="L38" s="28" t="s">
        <v>34</v>
      </c>
      <c r="M38" s="29">
        <f>IF($AE$1&gt;0,0,'医療分・支援・子供・介護分（印刷））'!X135)</f>
        <v>0</v>
      </c>
      <c r="N38" s="30" t="s">
        <v>39</v>
      </c>
      <c r="O38" s="31">
        <f>IF($AE$1&gt;0,0,'医療分・支援・子供・介護分（印刷））'!Z135)</f>
        <v>0</v>
      </c>
      <c r="P38" s="28" t="s">
        <v>34</v>
      </c>
      <c r="Q38" s="29">
        <f>IF($AE$1&gt;0,0,'医療分・支援・子供・介護分（印刷））'!X223)</f>
        <v>0</v>
      </c>
      <c r="R38" s="30" t="s">
        <v>39</v>
      </c>
      <c r="S38" s="29">
        <f>IF($AE$1&gt;0,0,'医療分・支援・子供・介護分（印刷））'!Z223)</f>
        <v>0</v>
      </c>
      <c r="T38" s="28" t="s">
        <v>34</v>
      </c>
      <c r="U38" s="29">
        <f>IF($AE$1&gt;0,0,'医療分・支援・子供・介護分（印刷））'!X312)</f>
        <v>0</v>
      </c>
      <c r="V38" s="30" t="s">
        <v>39</v>
      </c>
      <c r="W38" s="29">
        <f>IF($AE$1&gt;0,0,'医療分・支援・子供・介護分（印刷））'!Z312)</f>
        <v>0</v>
      </c>
      <c r="X38" s="258" t="s">
        <v>34</v>
      </c>
      <c r="Y38" s="259">
        <f>I38+M38+Q38+U38</f>
        <v>0</v>
      </c>
      <c r="Z38" s="260" t="s">
        <v>39</v>
      </c>
      <c r="AA38" s="261">
        <f>K38+O38+S38+W38</f>
        <v>0</v>
      </c>
      <c r="AE38" s="56"/>
      <c r="AF38" s="50"/>
      <c r="AG38" s="1263"/>
      <c r="AH38" s="1264"/>
      <c r="AI38" s="50"/>
      <c r="AJ38" s="12"/>
      <c r="AK38" s="28" t="s">
        <v>34</v>
      </c>
      <c r="AL38" s="29">
        <f>Y38</f>
        <v>0</v>
      </c>
      <c r="AM38" s="30" t="s">
        <v>39</v>
      </c>
      <c r="AN38" s="31">
        <f>Y38+Y39+Y40+Y41+Y42+Y43+AA38</f>
        <v>0</v>
      </c>
      <c r="AO38" s="12"/>
      <c r="AP38" s="28" t="s">
        <v>34</v>
      </c>
      <c r="AQ38" s="29">
        <f>IF($AG$6=$AL$6,AL38,0)</f>
        <v>0</v>
      </c>
      <c r="AR38" s="30" t="s">
        <v>39</v>
      </c>
      <c r="AS38" s="31">
        <f>IF($AG$6=$AN$6,AN38,0)</f>
        <v>0</v>
      </c>
      <c r="AT38" s="12"/>
      <c r="AU38" s="12"/>
      <c r="AV38" s="12"/>
      <c r="AW38" s="28" t="s">
        <v>34</v>
      </c>
      <c r="AX38" s="29">
        <f t="shared" ref="AX38:AX43" si="24">AX30</f>
        <v>0</v>
      </c>
      <c r="AY38" s="30" t="s">
        <v>39</v>
      </c>
      <c r="AZ38" s="31">
        <f>AZ30</f>
        <v>0</v>
      </c>
      <c r="BA38" s="12"/>
      <c r="BB38" s="28" t="s">
        <v>34</v>
      </c>
      <c r="BC38" s="29">
        <f t="shared" ref="BC38:BC43" si="25">IF(AX38=1,AL38,0)</f>
        <v>0</v>
      </c>
      <c r="BD38" s="30" t="s">
        <v>39</v>
      </c>
      <c r="BE38" s="31">
        <f>IF(AZ38=1,AN38,0)</f>
        <v>0</v>
      </c>
      <c r="BG38" s="12"/>
      <c r="BH38" s="56"/>
      <c r="BI38" s="50"/>
      <c r="BJ38" s="1263"/>
      <c r="BK38" s="1264"/>
      <c r="BL38" s="50"/>
      <c r="BM38" s="12"/>
      <c r="BN38" s="28" t="s">
        <v>34</v>
      </c>
      <c r="BO38" s="29">
        <f>Y38+Y39+Y40+Y41+Y42+Y43+AA38+AA39+AA40+AA41</f>
        <v>0</v>
      </c>
      <c r="BP38" s="30" t="s">
        <v>39</v>
      </c>
      <c r="BQ38" s="31">
        <f>SUM(AA38:AA41)</f>
        <v>0</v>
      </c>
      <c r="BR38" s="12"/>
      <c r="BS38" s="28" t="s">
        <v>34</v>
      </c>
      <c r="BT38" s="29">
        <f>IF($BJ$6=$BO$6,BO38,0)</f>
        <v>0</v>
      </c>
      <c r="BU38" s="30" t="s">
        <v>39</v>
      </c>
      <c r="BV38" s="31">
        <f>IF($BJ$6=$BQ$6,BQ38,0)</f>
        <v>0</v>
      </c>
      <c r="BW38" s="12"/>
      <c r="BX38" s="12"/>
      <c r="BY38" s="12"/>
      <c r="BZ38" s="28" t="s">
        <v>34</v>
      </c>
      <c r="CA38" s="29">
        <f t="shared" ref="CA38:CA43" si="26">CA30</f>
        <v>0</v>
      </c>
      <c r="CB38" s="30" t="s">
        <v>39</v>
      </c>
      <c r="CC38" s="31">
        <f>CC30</f>
        <v>0</v>
      </c>
      <c r="CD38" s="12"/>
      <c r="CE38" s="28" t="s">
        <v>34</v>
      </c>
      <c r="CF38" s="29">
        <f t="shared" ref="CF38:CF43" si="27">IF(CA38=1,BO38,0)</f>
        <v>0</v>
      </c>
      <c r="CG38" s="30" t="s">
        <v>39</v>
      </c>
      <c r="CH38" s="31">
        <f>IF(CC38=1,BQ38,0)</f>
        <v>0</v>
      </c>
      <c r="CI38" s="13"/>
    </row>
    <row r="39" spans="1:87" ht="23.25" customHeight="1">
      <c r="A39" s="1312"/>
      <c r="B39" s="1306"/>
      <c r="C39" s="1307"/>
      <c r="D39" s="1310"/>
      <c r="E39" s="1322"/>
      <c r="F39" s="1324"/>
      <c r="G39" s="1326"/>
      <c r="H39" s="82" t="s">
        <v>35</v>
      </c>
      <c r="I39" s="29">
        <f>IF($AE$1&gt;0,0,'医療分・支援・子供・介護分（印刷））'!X47)</f>
        <v>0</v>
      </c>
      <c r="J39" s="30" t="s">
        <v>40</v>
      </c>
      <c r="K39" s="29">
        <f>IF($AE$1&gt;0,0,'医療分・支援・子供・介護分（印刷））'!Z47)</f>
        <v>0</v>
      </c>
      <c r="L39" s="28" t="s">
        <v>35</v>
      </c>
      <c r="M39" s="29">
        <f>IF($AE$1&gt;0,0,'医療分・支援・子供・介護分（印刷））'!X136)</f>
        <v>0</v>
      </c>
      <c r="N39" s="30" t="s">
        <v>40</v>
      </c>
      <c r="O39" s="31">
        <f>IF($AE$1&gt;0,0,'医療分・支援・子供・介護分（印刷））'!Z136)</f>
        <v>0</v>
      </c>
      <c r="P39" s="28" t="s">
        <v>35</v>
      </c>
      <c r="Q39" s="29">
        <f>IF($AE$1&gt;0,0,'医療分・支援・子供・介護分（印刷））'!X224)</f>
        <v>0</v>
      </c>
      <c r="R39" s="30" t="s">
        <v>40</v>
      </c>
      <c r="S39" s="29">
        <f>IF($AE$1&gt;0,0,'医療分・支援・子供・介護分（印刷））'!Z224)</f>
        <v>0</v>
      </c>
      <c r="T39" s="28" t="s">
        <v>35</v>
      </c>
      <c r="U39" s="29">
        <f>IF($AE$1&gt;0,0,'医療分・支援・子供・介護分（印刷））'!X313)</f>
        <v>0</v>
      </c>
      <c r="V39" s="30" t="s">
        <v>40</v>
      </c>
      <c r="W39" s="29">
        <f>IF($AE$1&gt;0,0,'医療分・支援・子供・介護分（印刷））'!Z313)</f>
        <v>0</v>
      </c>
      <c r="X39" s="262" t="s">
        <v>35</v>
      </c>
      <c r="Y39" s="125">
        <f t="shared" ref="Y39:Y43" si="28">I39+M39+Q39+U39</f>
        <v>0</v>
      </c>
      <c r="Z39" s="126" t="s">
        <v>40</v>
      </c>
      <c r="AA39" s="127">
        <f t="shared" ref="AA39:AA40" si="29">K39+O39+S39+W39</f>
        <v>0</v>
      </c>
      <c r="AE39" s="56"/>
      <c r="AF39" s="12"/>
      <c r="AG39" s="1251"/>
      <c r="AH39" s="1252"/>
      <c r="AI39" s="50"/>
      <c r="AJ39" s="12"/>
      <c r="AK39" s="28" t="s">
        <v>35</v>
      </c>
      <c r="AL39" s="29">
        <f>SUM(Y38:Y39)</f>
        <v>0</v>
      </c>
      <c r="AM39" s="30" t="s">
        <v>40</v>
      </c>
      <c r="AN39" s="31">
        <f>Y38+Y39+Y40+Y41+Y42+Y43+AA38+AA39</f>
        <v>0</v>
      </c>
      <c r="AO39" s="12"/>
      <c r="AP39" s="28" t="s">
        <v>35</v>
      </c>
      <c r="AQ39" s="29">
        <f>IF($AG$6=$AL$7,AL39,0)</f>
        <v>0</v>
      </c>
      <c r="AR39" s="30" t="s">
        <v>40</v>
      </c>
      <c r="AS39" s="31">
        <f>IF($AG$6=$AN$7,AN39,0)</f>
        <v>0</v>
      </c>
      <c r="AT39" s="12"/>
      <c r="AU39" s="12"/>
      <c r="AV39" s="12"/>
      <c r="AW39" s="28" t="s">
        <v>35</v>
      </c>
      <c r="AX39" s="29">
        <f t="shared" si="24"/>
        <v>0</v>
      </c>
      <c r="AY39" s="30" t="s">
        <v>40</v>
      </c>
      <c r="AZ39" s="31">
        <f>AZ31</f>
        <v>0</v>
      </c>
      <c r="BA39" s="12"/>
      <c r="BB39" s="28" t="s">
        <v>35</v>
      </c>
      <c r="BC39" s="29">
        <f t="shared" si="25"/>
        <v>0</v>
      </c>
      <c r="BD39" s="30" t="s">
        <v>40</v>
      </c>
      <c r="BE39" s="31">
        <f>IF(AZ39=1,AN39,0)</f>
        <v>0</v>
      </c>
      <c r="BG39" s="12"/>
      <c r="BH39" s="56"/>
      <c r="BI39" s="12"/>
      <c r="BJ39" s="1251"/>
      <c r="BK39" s="1252"/>
      <c r="BL39" s="50"/>
      <c r="BM39" s="12"/>
      <c r="BN39" s="28" t="s">
        <v>35</v>
      </c>
      <c r="BO39" s="29">
        <f>Y39+Y40+Y41+Y42+Y43+AA38+AA39+AA40+AA41</f>
        <v>0</v>
      </c>
      <c r="BP39" s="30" t="s">
        <v>40</v>
      </c>
      <c r="BQ39" s="31">
        <f>SUM(AA39:AA41)</f>
        <v>0</v>
      </c>
      <c r="BR39" s="12"/>
      <c r="BS39" s="28" t="s">
        <v>35</v>
      </c>
      <c r="BT39" s="29">
        <f>IF($BJ$6=$BO$7,BO39,0)</f>
        <v>0</v>
      </c>
      <c r="BU39" s="30" t="s">
        <v>40</v>
      </c>
      <c r="BV39" s="31">
        <f>IF($BJ$6=$BQ$7,BQ39,0)</f>
        <v>0</v>
      </c>
      <c r="BW39" s="12"/>
      <c r="BX39" s="12"/>
      <c r="BY39" s="12"/>
      <c r="BZ39" s="28" t="s">
        <v>35</v>
      </c>
      <c r="CA39" s="29">
        <f t="shared" si="26"/>
        <v>0</v>
      </c>
      <c r="CB39" s="30" t="s">
        <v>40</v>
      </c>
      <c r="CC39" s="31">
        <f>CC31</f>
        <v>0</v>
      </c>
      <c r="CD39" s="12"/>
      <c r="CE39" s="28" t="s">
        <v>35</v>
      </c>
      <c r="CF39" s="29">
        <f t="shared" si="27"/>
        <v>0</v>
      </c>
      <c r="CG39" s="30" t="s">
        <v>40</v>
      </c>
      <c r="CH39" s="31">
        <f>IF(CC39=1,BQ39,0)</f>
        <v>0</v>
      </c>
      <c r="CI39" s="13"/>
    </row>
    <row r="40" spans="1:87" ht="23.25" customHeight="1">
      <c r="A40" s="1299">
        <f>入力画面!$L$9</f>
        <v>0</v>
      </c>
      <c r="B40" s="1300"/>
      <c r="C40" s="1300"/>
      <c r="D40" s="1301"/>
      <c r="E40" s="1297" t="s">
        <v>97</v>
      </c>
      <c r="F40" s="1327">
        <f>BD42+CG42</f>
        <v>0</v>
      </c>
      <c r="G40" s="1329" t="s">
        <v>6</v>
      </c>
      <c r="H40" s="82" t="s">
        <v>36</v>
      </c>
      <c r="I40" s="29">
        <f>IF($AE$1&gt;0,0,'医療分・支援・子供・介護分（印刷））'!X48)</f>
        <v>0</v>
      </c>
      <c r="J40" s="30" t="s">
        <v>41</v>
      </c>
      <c r="K40" s="29">
        <f>IF($AE$1&gt;0,0,'医療分・支援・子供・介護分（印刷））'!Z48)</f>
        <v>0</v>
      </c>
      <c r="L40" s="28" t="s">
        <v>36</v>
      </c>
      <c r="M40" s="29">
        <f>IF($AE$1&gt;0,0,'医療分・支援・子供・介護分（印刷））'!X137)</f>
        <v>0</v>
      </c>
      <c r="N40" s="30" t="s">
        <v>41</v>
      </c>
      <c r="O40" s="31">
        <f>IF($AE$1&gt;0,0,'医療分・支援・子供・介護分（印刷））'!Z137)</f>
        <v>0</v>
      </c>
      <c r="P40" s="28" t="s">
        <v>36</v>
      </c>
      <c r="Q40" s="29">
        <f>IF($AE$1&gt;0,0,'医療分・支援・子供・介護分（印刷））'!X225)</f>
        <v>0</v>
      </c>
      <c r="R40" s="30" t="s">
        <v>41</v>
      </c>
      <c r="S40" s="29">
        <f>IF($AE$1&gt;0,0,'医療分・支援・子供・介護分（印刷））'!Z225)</f>
        <v>0</v>
      </c>
      <c r="T40" s="28" t="s">
        <v>36</v>
      </c>
      <c r="U40" s="29">
        <f>IF($AE$1&gt;0,0,'医療分・支援・子供・介護分（印刷））'!X314)</f>
        <v>0</v>
      </c>
      <c r="V40" s="30" t="s">
        <v>41</v>
      </c>
      <c r="W40" s="29">
        <f>IF($AE$1&gt;0,0,'医療分・支援・子供・介護分（印刷））'!Z314)</f>
        <v>0</v>
      </c>
      <c r="X40" s="262" t="s">
        <v>36</v>
      </c>
      <c r="Y40" s="125">
        <f t="shared" si="28"/>
        <v>0</v>
      </c>
      <c r="Z40" s="126" t="s">
        <v>41</v>
      </c>
      <c r="AA40" s="127">
        <f t="shared" si="29"/>
        <v>0</v>
      </c>
      <c r="AE40" s="56"/>
      <c r="AF40" s="12"/>
      <c r="AG40" s="1251"/>
      <c r="AH40" s="1252"/>
      <c r="AI40" s="50"/>
      <c r="AJ40" s="12"/>
      <c r="AK40" s="28" t="s">
        <v>36</v>
      </c>
      <c r="AL40" s="29">
        <f>SUM(Y38:Y40)</f>
        <v>0</v>
      </c>
      <c r="AM40" s="30" t="s">
        <v>41</v>
      </c>
      <c r="AN40" s="31">
        <f>Y38+Y39+Y40+Y41+Y42+Y43+AA38+AA39+AA40</f>
        <v>0</v>
      </c>
      <c r="AO40" s="12"/>
      <c r="AP40" s="28" t="s">
        <v>36</v>
      </c>
      <c r="AQ40" s="29">
        <f>IF($AG$6=$AL$8,AL40,0)</f>
        <v>0</v>
      </c>
      <c r="AR40" s="30" t="s">
        <v>41</v>
      </c>
      <c r="AS40" s="31">
        <f>IF($AG$6=$AN$8,AN40,0)</f>
        <v>0</v>
      </c>
      <c r="AT40" s="12"/>
      <c r="AU40" s="12"/>
      <c r="AV40" s="12"/>
      <c r="AW40" s="28" t="s">
        <v>36</v>
      </c>
      <c r="AX40" s="29">
        <f t="shared" si="24"/>
        <v>0</v>
      </c>
      <c r="AY40" s="30" t="s">
        <v>41</v>
      </c>
      <c r="AZ40" s="31">
        <f>AZ32</f>
        <v>0</v>
      </c>
      <c r="BA40" s="12"/>
      <c r="BB40" s="28" t="s">
        <v>36</v>
      </c>
      <c r="BC40" s="29">
        <f t="shared" si="25"/>
        <v>0</v>
      </c>
      <c r="BD40" s="30" t="s">
        <v>41</v>
      </c>
      <c r="BE40" s="31">
        <f>IF(AZ40=1,AN40,0)</f>
        <v>0</v>
      </c>
      <c r="BG40" s="12"/>
      <c r="BH40" s="56"/>
      <c r="BI40" s="12"/>
      <c r="BJ40" s="1251"/>
      <c r="BK40" s="1252"/>
      <c r="BL40" s="50"/>
      <c r="BM40" s="12"/>
      <c r="BN40" s="28" t="s">
        <v>36</v>
      </c>
      <c r="BO40" s="29">
        <f>Y40+Y41+Y42+Y43+AA38+AA39+AA40+AA41</f>
        <v>0</v>
      </c>
      <c r="BP40" s="30" t="s">
        <v>41</v>
      </c>
      <c r="BQ40" s="31">
        <f>SUM(AA40:AA41)</f>
        <v>0</v>
      </c>
      <c r="BR40" s="12"/>
      <c r="BS40" s="28" t="s">
        <v>36</v>
      </c>
      <c r="BT40" s="29">
        <f>IF($BJ$6=$BO$8,BO40,0)</f>
        <v>0</v>
      </c>
      <c r="BU40" s="30" t="s">
        <v>41</v>
      </c>
      <c r="BV40" s="31">
        <f>IF($BJ$6=$BQ$8,BQ40,0)</f>
        <v>0</v>
      </c>
      <c r="BW40" s="12"/>
      <c r="BX40" s="12"/>
      <c r="BY40" s="12"/>
      <c r="BZ40" s="28" t="s">
        <v>36</v>
      </c>
      <c r="CA40" s="29">
        <f t="shared" si="26"/>
        <v>0</v>
      </c>
      <c r="CB40" s="30" t="s">
        <v>41</v>
      </c>
      <c r="CC40" s="31">
        <f>CC32</f>
        <v>0</v>
      </c>
      <c r="CD40" s="12"/>
      <c r="CE40" s="28" t="s">
        <v>36</v>
      </c>
      <c r="CF40" s="29">
        <f t="shared" si="27"/>
        <v>0</v>
      </c>
      <c r="CG40" s="30" t="s">
        <v>41</v>
      </c>
      <c r="CH40" s="31">
        <f>IF(CC40=1,BQ40,0)</f>
        <v>0</v>
      </c>
      <c r="CI40" s="13"/>
    </row>
    <row r="41" spans="1:87" ht="23.25" customHeight="1">
      <c r="A41" s="1302"/>
      <c r="B41" s="1303"/>
      <c r="C41" s="1303"/>
      <c r="D41" s="1304"/>
      <c r="E41" s="1298"/>
      <c r="F41" s="1328"/>
      <c r="G41" s="1329"/>
      <c r="H41" s="82" t="s">
        <v>43</v>
      </c>
      <c r="I41" s="29">
        <f>IF($AE$1&gt;0,0,'医療分・支援・子供・介護分（印刷））'!X49)</f>
        <v>0</v>
      </c>
      <c r="J41" s="30" t="s">
        <v>42</v>
      </c>
      <c r="K41" s="29">
        <f>IF($AE$1&gt;0,0,'医療分・支援・子供・介護分（印刷））'!Z49)</f>
        <v>0</v>
      </c>
      <c r="L41" s="28" t="s">
        <v>43</v>
      </c>
      <c r="M41" s="29">
        <f>IF($AE$1&gt;0,0,'医療分・支援・子供・介護分（印刷））'!X138)</f>
        <v>0</v>
      </c>
      <c r="N41" s="30" t="s">
        <v>42</v>
      </c>
      <c r="O41" s="31">
        <f>IF($AE$1&gt;0,0,'医療分・支援・子供・介護分（印刷））'!Z138)</f>
        <v>0</v>
      </c>
      <c r="P41" s="28" t="s">
        <v>43</v>
      </c>
      <c r="Q41" s="29">
        <f>IF($AE$1&gt;0,0,'医療分・支援・子供・介護分（印刷））'!X226)</f>
        <v>0</v>
      </c>
      <c r="R41" s="30" t="s">
        <v>42</v>
      </c>
      <c r="S41" s="29">
        <f>IF($AE$1&gt;0,0,'医療分・支援・子供・介護分（印刷））'!Z226)</f>
        <v>0</v>
      </c>
      <c r="T41" s="28" t="s">
        <v>43</v>
      </c>
      <c r="U41" s="29">
        <f>IF($AE$1&gt;0,0,'医療分・支援・子供・介護分（印刷））'!X315)</f>
        <v>0</v>
      </c>
      <c r="V41" s="30" t="s">
        <v>42</v>
      </c>
      <c r="W41" s="29">
        <f>IF($AE$1&gt;0,0,'医療分・支援・子供・介護分（印刷））'!Z315)</f>
        <v>0</v>
      </c>
      <c r="X41" s="262" t="s">
        <v>43</v>
      </c>
      <c r="Y41" s="125">
        <f t="shared" si="28"/>
        <v>0</v>
      </c>
      <c r="Z41" s="263" t="s">
        <v>42</v>
      </c>
      <c r="AA41" s="127">
        <f>K41+O41+S41+W41</f>
        <v>0</v>
      </c>
      <c r="AE41" s="56"/>
      <c r="AF41" s="12"/>
      <c r="AG41" s="1259"/>
      <c r="AH41" s="1259"/>
      <c r="AI41" s="1259"/>
      <c r="AJ41" s="12"/>
      <c r="AK41" s="28" t="s">
        <v>43</v>
      </c>
      <c r="AL41" s="29">
        <f>SUM(Y38:Y41)</f>
        <v>0</v>
      </c>
      <c r="AM41" s="133" t="s">
        <v>93</v>
      </c>
      <c r="AN41" s="144">
        <f>Y38+Y39+Y40+Y41+Y42+Y43+AA38+AA39+AA40+AA41</f>
        <v>0</v>
      </c>
      <c r="AO41" s="12"/>
      <c r="AP41" s="28" t="s">
        <v>43</v>
      </c>
      <c r="AQ41" s="29">
        <f>IF($AG$6=$AL$9,AL41,0)</f>
        <v>0</v>
      </c>
      <c r="AR41" s="133" t="s">
        <v>93</v>
      </c>
      <c r="AS41" s="31">
        <f>IF($AG$6=$AN$9,AN41,0)</f>
        <v>0</v>
      </c>
      <c r="AT41" s="12"/>
      <c r="AU41" s="12"/>
      <c r="AV41" s="12"/>
      <c r="AW41" s="28" t="s">
        <v>43</v>
      </c>
      <c r="AX41" s="29">
        <f t="shared" si="24"/>
        <v>0</v>
      </c>
      <c r="AY41" s="133" t="s">
        <v>93</v>
      </c>
      <c r="AZ41" s="31">
        <f>AZ33</f>
        <v>0</v>
      </c>
      <c r="BA41" s="12"/>
      <c r="BB41" s="28" t="s">
        <v>43</v>
      </c>
      <c r="BC41" s="29">
        <f t="shared" si="25"/>
        <v>0</v>
      </c>
      <c r="BD41" s="133" t="s">
        <v>93</v>
      </c>
      <c r="BE41" s="31">
        <f>IF(AZ41=1,AN41,0)</f>
        <v>0</v>
      </c>
      <c r="BG41" s="12"/>
      <c r="BH41" s="56"/>
      <c r="BI41" s="12"/>
      <c r="BJ41" s="1259"/>
      <c r="BK41" s="1259"/>
      <c r="BL41" s="1259"/>
      <c r="BM41" s="12"/>
      <c r="BN41" s="28" t="s">
        <v>43</v>
      </c>
      <c r="BO41" s="29">
        <f>Y41+Y42+Y43+AA38+AA39+AA40+AA41</f>
        <v>0</v>
      </c>
      <c r="BP41" s="30" t="s">
        <v>42</v>
      </c>
      <c r="BQ41" s="144">
        <f>AA41</f>
        <v>0</v>
      </c>
      <c r="BR41" s="12"/>
      <c r="BS41" s="28" t="s">
        <v>43</v>
      </c>
      <c r="BT41" s="29">
        <f>IF($BJ$6=$BO$9,BO41,0)</f>
        <v>0</v>
      </c>
      <c r="BU41" s="133" t="s">
        <v>93</v>
      </c>
      <c r="BV41" s="31">
        <f>IF($BJ$6=$BQ$9,BQ41,0)</f>
        <v>0</v>
      </c>
      <c r="BW41" s="12"/>
      <c r="BX41" s="12"/>
      <c r="BY41" s="12"/>
      <c r="BZ41" s="28" t="s">
        <v>43</v>
      </c>
      <c r="CA41" s="29">
        <f t="shared" si="26"/>
        <v>0</v>
      </c>
      <c r="CB41" s="133" t="s">
        <v>93</v>
      </c>
      <c r="CC41" s="31">
        <f>CC33</f>
        <v>0</v>
      </c>
      <c r="CD41" s="12"/>
      <c r="CE41" s="28" t="s">
        <v>43</v>
      </c>
      <c r="CF41" s="29">
        <f t="shared" si="27"/>
        <v>0</v>
      </c>
      <c r="CG41" s="133" t="s">
        <v>93</v>
      </c>
      <c r="CH41" s="31">
        <f>IF(CC41=1,BQ41,0)</f>
        <v>0</v>
      </c>
      <c r="CI41" s="13"/>
    </row>
    <row r="42" spans="1:87" ht="23.25" customHeight="1">
      <c r="A42" s="1285">
        <f>IF((U39+U40+U41+U42+U43+W38+W39+W40+W41)&lt;0,"介護該当者は①から順に入力してください｡",0)</f>
        <v>0</v>
      </c>
      <c r="B42" s="1286"/>
      <c r="C42" s="1286"/>
      <c r="D42" s="1287"/>
      <c r="E42" s="1291">
        <f>IF(AU42=1,"＊入金額エラー＊",0)</f>
        <v>0</v>
      </c>
      <c r="F42" s="1292"/>
      <c r="G42" s="1293"/>
      <c r="H42" s="82" t="s">
        <v>37</v>
      </c>
      <c r="I42" s="29">
        <f>IF($AE$1&gt;0,0,'医療分・支援・子供・介護分（印刷））'!X50)</f>
        <v>0</v>
      </c>
      <c r="J42" s="1313" t="s">
        <v>44</v>
      </c>
      <c r="K42" s="1317">
        <f>IF(AE1&gt;0,0,'医療分・支援・子供・介護分（印刷））'!Z50)</f>
        <v>0</v>
      </c>
      <c r="L42" s="28" t="s">
        <v>37</v>
      </c>
      <c r="M42" s="29">
        <f>IF($AE$1&gt;0,0,'医療分・支援・子供・介護分（印刷））'!X139)</f>
        <v>0</v>
      </c>
      <c r="N42" s="1313" t="s">
        <v>44</v>
      </c>
      <c r="O42" s="1315">
        <f>IF($AE$1&gt;0,0,'医療分・支援・子供・介護分（印刷））'!Z139)</f>
        <v>0</v>
      </c>
      <c r="P42" s="28" t="s">
        <v>37</v>
      </c>
      <c r="Q42" s="29">
        <f>IF($AE$1&gt;0,0,'医療分・支援・子供・介護分（印刷））'!X227)</f>
        <v>0</v>
      </c>
      <c r="R42" s="1313" t="s">
        <v>44</v>
      </c>
      <c r="S42" s="1315">
        <f>IF(AE1&gt;0,0,'医療分・支援・子供・介護分（印刷））'!Z227)</f>
        <v>0</v>
      </c>
      <c r="T42" s="28" t="s">
        <v>37</v>
      </c>
      <c r="U42" s="29">
        <f>IF($AE$1&gt;0,0,'医療分・支援・子供・介護分（印刷））'!X316)</f>
        <v>0</v>
      </c>
      <c r="V42" s="1313" t="s">
        <v>44</v>
      </c>
      <c r="W42" s="1315">
        <f>IF(AI1&gt;0,0,'医療分・支援・子供・介護分（印刷））'!Z316)</f>
        <v>0</v>
      </c>
      <c r="X42" s="262" t="s">
        <v>37</v>
      </c>
      <c r="Y42" s="125">
        <f>I42+M42+Q42+U42</f>
        <v>0</v>
      </c>
      <c r="Z42" s="1319" t="s">
        <v>44</v>
      </c>
      <c r="AA42" s="1280">
        <f>K42+O42+S42+W42</f>
        <v>0</v>
      </c>
      <c r="AE42" s="56"/>
      <c r="AF42" s="12"/>
      <c r="AG42" s="1251"/>
      <c r="AH42" s="1252"/>
      <c r="AI42" s="50"/>
      <c r="AJ42" s="12"/>
      <c r="AK42" s="28" t="s">
        <v>37</v>
      </c>
      <c r="AL42" s="81">
        <f>SUM(Y38:Y42)</f>
        <v>0</v>
      </c>
      <c r="AM42" s="1253"/>
      <c r="AN42" s="1255"/>
      <c r="AO42" s="12"/>
      <c r="AP42" s="28" t="s">
        <v>37</v>
      </c>
      <c r="AQ42" s="29">
        <f>IF($AG$6=$AL$10,AL42,0)</f>
        <v>0</v>
      </c>
      <c r="AR42" s="1247">
        <f>AQ38+AQ39+AQ40+AQ41+AQ42+AQ43+AS38+AS39+AS40+AS41</f>
        <v>0</v>
      </c>
      <c r="AS42" s="1248"/>
      <c r="AT42" s="1257" t="str">
        <f>IF(AL38=0,"－",IF(AR42&lt;AG38,"エラー",0))</f>
        <v>－</v>
      </c>
      <c r="AU42" s="1257">
        <f>IF(AT42="エラー",1,0)</f>
        <v>0</v>
      </c>
      <c r="AV42" s="12"/>
      <c r="AW42" s="28" t="s">
        <v>37</v>
      </c>
      <c r="AX42" s="29">
        <f t="shared" si="24"/>
        <v>0</v>
      </c>
      <c r="AY42" s="1247"/>
      <c r="AZ42" s="1248"/>
      <c r="BA42" s="12"/>
      <c r="BB42" s="28" t="s">
        <v>37</v>
      </c>
      <c r="BC42" s="29">
        <f t="shared" si="25"/>
        <v>0</v>
      </c>
      <c r="BD42" s="1247">
        <f>BC38+BC39+BC40+BC41+BC42+BC43+BE38+BE39+BE40+BE41</f>
        <v>0</v>
      </c>
      <c r="BE42" s="1248"/>
      <c r="BG42" s="12"/>
      <c r="BH42" s="56"/>
      <c r="BI42" s="12"/>
      <c r="BJ42" s="1251"/>
      <c r="BK42" s="1252"/>
      <c r="BL42" s="50"/>
      <c r="BM42" s="12"/>
      <c r="BN42" s="28" t="s">
        <v>37</v>
      </c>
      <c r="BO42" s="81">
        <f>Y42+Y43+AA38+AA39+AA40+AA41</f>
        <v>0</v>
      </c>
      <c r="BP42" s="1253"/>
      <c r="BQ42" s="1255"/>
      <c r="BR42" s="12"/>
      <c r="BS42" s="28" t="s">
        <v>37</v>
      </c>
      <c r="BT42" s="29">
        <f>IF($BJ$6=$BO$10,BO42,0)</f>
        <v>0</v>
      </c>
      <c r="BU42" s="1247">
        <f>BT38+BT39+BT40+BT41+BT42+BT43+BV38+BV39+BV40+BV41</f>
        <v>0</v>
      </c>
      <c r="BV42" s="1248"/>
      <c r="BW42" s="1257" t="str">
        <f>IF(BO38=0,"－",IF(BU42&lt;BJ38,"エラー",0))</f>
        <v>－</v>
      </c>
      <c r="BX42" s="1257">
        <f>IF(BW42="エラー",1,0)</f>
        <v>0</v>
      </c>
      <c r="BY42" s="12"/>
      <c r="BZ42" s="28" t="s">
        <v>37</v>
      </c>
      <c r="CA42" s="29">
        <f t="shared" si="26"/>
        <v>0</v>
      </c>
      <c r="CB42" s="1247"/>
      <c r="CC42" s="1248"/>
      <c r="CD42" s="12"/>
      <c r="CE42" s="28" t="s">
        <v>37</v>
      </c>
      <c r="CF42" s="29">
        <f t="shared" si="27"/>
        <v>0</v>
      </c>
      <c r="CG42" s="1247">
        <f>CF38+CF39+CF40+CF41+CF42+CF43+CH38+CH39+CH40+CH41</f>
        <v>0</v>
      </c>
      <c r="CH42" s="1248"/>
      <c r="CI42" s="13"/>
    </row>
    <row r="43" spans="1:87" ht="23.25" customHeight="1">
      <c r="A43" s="1288"/>
      <c r="B43" s="1289"/>
      <c r="C43" s="1289"/>
      <c r="D43" s="1290"/>
      <c r="E43" s="1294"/>
      <c r="F43" s="1295"/>
      <c r="G43" s="1296"/>
      <c r="H43" s="128" t="s">
        <v>38</v>
      </c>
      <c r="I43" s="66">
        <f>IF($AE$1&gt;0,0,'医療分・支援・子供・介護分（印刷））'!X51)</f>
        <v>0</v>
      </c>
      <c r="J43" s="1314"/>
      <c r="K43" s="1318"/>
      <c r="L43" s="65" t="s">
        <v>38</v>
      </c>
      <c r="M43" s="66">
        <f>IF($AE$1&gt;0,0,'医療分・支援・子供・介護分（印刷））'!X140)</f>
        <v>0</v>
      </c>
      <c r="N43" s="1314"/>
      <c r="O43" s="1316"/>
      <c r="P43" s="65" t="s">
        <v>38</v>
      </c>
      <c r="Q43" s="66">
        <f>IF($AE$1&gt;0,0,'医療分・支援・子供・介護分（印刷））'!X228)</f>
        <v>0</v>
      </c>
      <c r="R43" s="1314"/>
      <c r="S43" s="1316"/>
      <c r="T43" s="65" t="s">
        <v>38</v>
      </c>
      <c r="U43" s="66">
        <f>IF($AE$1&gt;0,0,'医療分・支援・子供・介護分（印刷））'!X317)</f>
        <v>0</v>
      </c>
      <c r="V43" s="1314"/>
      <c r="W43" s="1316"/>
      <c r="X43" s="264" t="s">
        <v>38</v>
      </c>
      <c r="Y43" s="129">
        <f t="shared" si="28"/>
        <v>0</v>
      </c>
      <c r="Z43" s="1320"/>
      <c r="AA43" s="1281"/>
      <c r="AC43" s="272" t="str">
        <f>IF(AA42=0,"－",IF(F38=AA42,"ＯＫ","エラー"))</f>
        <v>－</v>
      </c>
      <c r="AE43" s="56"/>
      <c r="AF43" s="12"/>
      <c r="AG43" s="12"/>
      <c r="AH43" s="12"/>
      <c r="AI43" s="12"/>
      <c r="AJ43" s="12"/>
      <c r="AK43" s="65" t="s">
        <v>38</v>
      </c>
      <c r="AL43" s="132">
        <f>SUM(Y38:Y43)</f>
        <v>0</v>
      </c>
      <c r="AM43" s="1254"/>
      <c r="AN43" s="1256"/>
      <c r="AO43" s="12"/>
      <c r="AP43" s="65" t="s">
        <v>38</v>
      </c>
      <c r="AQ43" s="66">
        <f>IF($AG$6=$AL$11,AL43,0)</f>
        <v>0</v>
      </c>
      <c r="AR43" s="1249"/>
      <c r="AS43" s="1250"/>
      <c r="AT43" s="1258"/>
      <c r="AU43" s="1258"/>
      <c r="AV43" s="12"/>
      <c r="AW43" s="65" t="s">
        <v>38</v>
      </c>
      <c r="AX43" s="66">
        <f t="shared" si="24"/>
        <v>0</v>
      </c>
      <c r="AY43" s="1249"/>
      <c r="AZ43" s="1250"/>
      <c r="BA43" s="12"/>
      <c r="BB43" s="65" t="s">
        <v>38</v>
      </c>
      <c r="BC43" s="66">
        <f t="shared" si="25"/>
        <v>0</v>
      </c>
      <c r="BD43" s="1249"/>
      <c r="BE43" s="1250"/>
      <c r="BG43" s="12"/>
      <c r="BH43" s="56"/>
      <c r="BI43" s="12"/>
      <c r="BJ43" s="12"/>
      <c r="BK43" s="12"/>
      <c r="BL43" s="12"/>
      <c r="BM43" s="12"/>
      <c r="BN43" s="65" t="s">
        <v>38</v>
      </c>
      <c r="BO43" s="132">
        <f>Y43+AA38+AA39+AA40+AA41</f>
        <v>0</v>
      </c>
      <c r="BP43" s="1254"/>
      <c r="BQ43" s="1256"/>
      <c r="BR43" s="12"/>
      <c r="BS43" s="65" t="s">
        <v>38</v>
      </c>
      <c r="BT43" s="66">
        <f>IF($BJ$6=$BO$11,BO43,0)</f>
        <v>0</v>
      </c>
      <c r="BU43" s="1249"/>
      <c r="BV43" s="1250"/>
      <c r="BW43" s="1258"/>
      <c r="BX43" s="1258"/>
      <c r="BY43" s="12"/>
      <c r="BZ43" s="65" t="s">
        <v>38</v>
      </c>
      <c r="CA43" s="66">
        <f t="shared" si="26"/>
        <v>0</v>
      </c>
      <c r="CB43" s="1249"/>
      <c r="CC43" s="1250"/>
      <c r="CD43" s="12"/>
      <c r="CE43" s="65" t="s">
        <v>38</v>
      </c>
      <c r="CF43" s="66">
        <f t="shared" si="27"/>
        <v>0</v>
      </c>
      <c r="CG43" s="1249"/>
      <c r="CH43" s="1250"/>
      <c r="CI43" s="13"/>
    </row>
    <row r="44" spans="1:87" ht="9.9499999999999993" customHeight="1">
      <c r="E44" s="68"/>
      <c r="F44" s="68"/>
      <c r="G44" s="18"/>
      <c r="AE44" s="56"/>
      <c r="AF44" s="12"/>
      <c r="AG44" s="12"/>
      <c r="AH44" s="12"/>
      <c r="AI44" s="12"/>
      <c r="AJ44" s="12"/>
      <c r="AK44" s="4"/>
      <c r="AL44" s="4"/>
      <c r="AM44" s="4"/>
      <c r="AN44" s="4"/>
      <c r="AO44" s="12"/>
      <c r="AP44" s="4"/>
      <c r="AQ44" s="4"/>
      <c r="AR44" s="4"/>
      <c r="AS44" s="4"/>
      <c r="AT44" s="12"/>
      <c r="AU44" s="12"/>
      <c r="AV44" s="12"/>
      <c r="AW44" s="4"/>
      <c r="AX44" s="4"/>
      <c r="AY44" s="4"/>
      <c r="AZ44" s="4"/>
      <c r="BA44" s="12"/>
      <c r="BB44" s="4"/>
      <c r="BC44" s="4"/>
      <c r="BD44" s="4"/>
      <c r="BE44" s="4"/>
      <c r="BG44" s="12"/>
      <c r="BH44" s="56"/>
      <c r="BI44" s="12"/>
      <c r="BJ44" s="12"/>
      <c r="BK44" s="12"/>
      <c r="BL44" s="12"/>
      <c r="BM44" s="12"/>
      <c r="BN44" s="4"/>
      <c r="BO44" s="4"/>
      <c r="BP44" s="4"/>
      <c r="BQ44" s="4"/>
      <c r="BR44" s="12"/>
      <c r="BS44" s="4"/>
      <c r="BT44" s="4"/>
      <c r="BU44" s="4"/>
      <c r="BV44" s="4"/>
      <c r="BW44" s="12"/>
      <c r="BX44" s="12"/>
      <c r="BY44" s="12"/>
      <c r="BZ44" s="4"/>
      <c r="CA44" s="4"/>
      <c r="CB44" s="4"/>
      <c r="CC44" s="4"/>
      <c r="CD44" s="12"/>
      <c r="CE44" s="4"/>
      <c r="CF44" s="4"/>
      <c r="CG44" s="4"/>
      <c r="CH44" s="4"/>
      <c r="CI44" s="13"/>
    </row>
    <row r="45" spans="1:87" ht="23.25" customHeight="1">
      <c r="A45" s="1311" t="s">
        <v>155</v>
      </c>
      <c r="B45" s="1308" t="s">
        <v>77</v>
      </c>
      <c r="C45" s="1308"/>
      <c r="D45" s="1308"/>
      <c r="E45" s="1330" t="s">
        <v>82</v>
      </c>
      <c r="F45" s="1331"/>
      <c r="G45" s="1332"/>
      <c r="H45" s="1278" t="s">
        <v>69</v>
      </c>
      <c r="I45" s="1278"/>
      <c r="J45" s="1278"/>
      <c r="K45" s="1278"/>
      <c r="L45" s="1277" t="s">
        <v>159</v>
      </c>
      <c r="M45" s="1278"/>
      <c r="N45" s="1278"/>
      <c r="O45" s="1279"/>
      <c r="P45" s="1277" t="s">
        <v>409</v>
      </c>
      <c r="Q45" s="1278"/>
      <c r="R45" s="1278"/>
      <c r="S45" s="1279"/>
      <c r="T45" s="1277" t="s">
        <v>70</v>
      </c>
      <c r="U45" s="1278"/>
      <c r="V45" s="1278"/>
      <c r="W45" s="1279"/>
      <c r="X45" s="1277" t="s">
        <v>76</v>
      </c>
      <c r="Y45" s="1278"/>
      <c r="Z45" s="1278"/>
      <c r="AA45" s="1279"/>
      <c r="AE45" s="56"/>
      <c r="AF45" s="12"/>
      <c r="AG45" s="12"/>
      <c r="AH45" s="12"/>
      <c r="AI45" s="12"/>
      <c r="AJ45" s="12"/>
      <c r="AK45" s="1260" t="s">
        <v>94</v>
      </c>
      <c r="AL45" s="1261"/>
      <c r="AM45" s="1261"/>
      <c r="AN45" s="1262"/>
      <c r="AO45" s="12"/>
      <c r="AP45" s="1260" t="s">
        <v>95</v>
      </c>
      <c r="AQ45" s="1261"/>
      <c r="AR45" s="1261"/>
      <c r="AS45" s="1262"/>
      <c r="AT45" s="12"/>
      <c r="AU45" s="12"/>
      <c r="AV45" s="12"/>
      <c r="AW45" s="1260" t="s">
        <v>98</v>
      </c>
      <c r="AX45" s="1261"/>
      <c r="AY45" s="1261"/>
      <c r="AZ45" s="1262"/>
      <c r="BA45" s="12"/>
      <c r="BB45" s="1260" t="s">
        <v>98</v>
      </c>
      <c r="BC45" s="1261"/>
      <c r="BD45" s="1261"/>
      <c r="BE45" s="1262"/>
      <c r="BG45" s="12"/>
      <c r="BH45" s="56"/>
      <c r="BI45" s="12"/>
      <c r="BJ45" s="12"/>
      <c r="BK45" s="12"/>
      <c r="BL45" s="12"/>
      <c r="BM45" s="12"/>
      <c r="BN45" s="1260" t="s">
        <v>101</v>
      </c>
      <c r="BO45" s="1261"/>
      <c r="BP45" s="1261"/>
      <c r="BQ45" s="1262"/>
      <c r="BR45" s="12"/>
      <c r="BS45" s="1260" t="s">
        <v>95</v>
      </c>
      <c r="BT45" s="1261"/>
      <c r="BU45" s="1261"/>
      <c r="BV45" s="1262"/>
      <c r="BW45" s="12"/>
      <c r="BX45" s="12"/>
      <c r="BY45" s="12"/>
      <c r="BZ45" s="1260" t="s">
        <v>98</v>
      </c>
      <c r="CA45" s="1261"/>
      <c r="CB45" s="1261"/>
      <c r="CC45" s="1262"/>
      <c r="CD45" s="12"/>
      <c r="CE45" s="1260" t="s">
        <v>98</v>
      </c>
      <c r="CF45" s="1261"/>
      <c r="CG45" s="1261"/>
      <c r="CH45" s="1262"/>
      <c r="CI45" s="13"/>
    </row>
    <row r="46" spans="1:87" ht="23.25" customHeight="1">
      <c r="A46" s="1312"/>
      <c r="B46" s="1305">
        <f>入力画面!C32</f>
        <v>0</v>
      </c>
      <c r="C46" s="1300"/>
      <c r="D46" s="1309">
        <f>IF(F46&gt;0,"様",0)</f>
        <v>0</v>
      </c>
      <c r="E46" s="1321" t="s">
        <v>75</v>
      </c>
      <c r="F46" s="1323">
        <f>IF(AE1&gt;0,0,'医療分・支援・子供・介護分（印刷））'!U60+'医療分・支援・子供・介護分（印刷））'!U149+'医療分・支援・子供・介護分（印刷））'!U237+'医療分・支援・子供・介護分（印刷））'!U326)</f>
        <v>0</v>
      </c>
      <c r="G46" s="1325" t="s">
        <v>6</v>
      </c>
      <c r="H46" s="82" t="s">
        <v>34</v>
      </c>
      <c r="I46" s="29">
        <f>IF($AE$1&gt;0,0,'医療分・支援・子供・介護分（印刷））'!X56)</f>
        <v>0</v>
      </c>
      <c r="J46" s="30" t="s">
        <v>39</v>
      </c>
      <c r="K46" s="29">
        <f>IF($AE$1&gt;0,0,'医療分・支援・子供・介護分（印刷））'!Z56)</f>
        <v>0</v>
      </c>
      <c r="L46" s="28" t="s">
        <v>34</v>
      </c>
      <c r="M46" s="29">
        <f>IF($AE$1&gt;0,0,'医療分・支援・子供・介護分（印刷））'!X145)</f>
        <v>0</v>
      </c>
      <c r="N46" s="30" t="s">
        <v>39</v>
      </c>
      <c r="O46" s="31">
        <f>IF($AE$1&gt;0,0,'医療分・支援・子供・介護分（印刷））'!Z145)</f>
        <v>0</v>
      </c>
      <c r="P46" s="28" t="s">
        <v>34</v>
      </c>
      <c r="Q46" s="29">
        <f>IF($AE$1&gt;0,0,'医療分・支援・子供・介護分（印刷））'!X233)</f>
        <v>0</v>
      </c>
      <c r="R46" s="30" t="s">
        <v>39</v>
      </c>
      <c r="S46" s="29">
        <f>IF($AE$1&gt;0,0,'医療分・支援・子供・介護分（印刷））'!Z233)</f>
        <v>0</v>
      </c>
      <c r="T46" s="28" t="s">
        <v>34</v>
      </c>
      <c r="U46" s="29">
        <f>IF($AE$1&gt;0,0,'医療分・支援・子供・介護分（印刷））'!X322)</f>
        <v>0</v>
      </c>
      <c r="V46" s="30" t="s">
        <v>39</v>
      </c>
      <c r="W46" s="29">
        <f>IF($AE$1&gt;0,0,'医療分・支援・子供・介護分（印刷））'!Z322)</f>
        <v>0</v>
      </c>
      <c r="X46" s="258" t="s">
        <v>34</v>
      </c>
      <c r="Y46" s="259">
        <f>I46+M46+Q46+U46</f>
        <v>0</v>
      </c>
      <c r="Z46" s="260" t="s">
        <v>39</v>
      </c>
      <c r="AA46" s="261">
        <f>K46+O46+S46+W46</f>
        <v>0</v>
      </c>
      <c r="AE46" s="56"/>
      <c r="AF46" s="50"/>
      <c r="AG46" s="1263"/>
      <c r="AH46" s="1264"/>
      <c r="AI46" s="50"/>
      <c r="AJ46" s="12"/>
      <c r="AK46" s="28" t="s">
        <v>34</v>
      </c>
      <c r="AL46" s="29">
        <f>Y46</f>
        <v>0</v>
      </c>
      <c r="AM46" s="30" t="s">
        <v>39</v>
      </c>
      <c r="AN46" s="31">
        <f>Y46+Y47+Y48+Y49+Y50+Y51+AA46</f>
        <v>0</v>
      </c>
      <c r="AO46" s="12"/>
      <c r="AP46" s="28" t="s">
        <v>34</v>
      </c>
      <c r="AQ46" s="29">
        <f>IF($AG$6=$AL$6,AL46,0)</f>
        <v>0</v>
      </c>
      <c r="AR46" s="30" t="s">
        <v>39</v>
      </c>
      <c r="AS46" s="31">
        <f>IF($AG$6=$AN$6,AN46,0)</f>
        <v>0</v>
      </c>
      <c r="AT46" s="12"/>
      <c r="AU46" s="12"/>
      <c r="AV46" s="12"/>
      <c r="AW46" s="28" t="s">
        <v>34</v>
      </c>
      <c r="AX46" s="29">
        <f t="shared" ref="AX46:AX51" si="30">AX38</f>
        <v>0</v>
      </c>
      <c r="AY46" s="30" t="s">
        <v>39</v>
      </c>
      <c r="AZ46" s="31">
        <f>AZ38</f>
        <v>0</v>
      </c>
      <c r="BA46" s="12"/>
      <c r="BB46" s="28" t="s">
        <v>34</v>
      </c>
      <c r="BC46" s="29">
        <f t="shared" ref="BC46:BC51" si="31">IF(AX46=1,AL46,0)</f>
        <v>0</v>
      </c>
      <c r="BD46" s="30" t="s">
        <v>39</v>
      </c>
      <c r="BE46" s="31">
        <f>IF(AZ46=1,AN46,0)</f>
        <v>0</v>
      </c>
      <c r="BG46" s="12"/>
      <c r="BH46" s="56"/>
      <c r="BI46" s="50"/>
      <c r="BJ46" s="1263"/>
      <c r="BK46" s="1264"/>
      <c r="BL46" s="50"/>
      <c r="BM46" s="12"/>
      <c r="BN46" s="28" t="s">
        <v>34</v>
      </c>
      <c r="BO46" s="29">
        <f>Y46+Y47+Y48+Y49+Y50+Y51+AA46+AA47+AA48+AA49</f>
        <v>0</v>
      </c>
      <c r="BP46" s="30" t="s">
        <v>39</v>
      </c>
      <c r="BQ46" s="31">
        <f>SUM(AA46:AA49)</f>
        <v>0</v>
      </c>
      <c r="BR46" s="12"/>
      <c r="BS46" s="28" t="s">
        <v>34</v>
      </c>
      <c r="BT46" s="29">
        <f>IF($BJ$6=$BO$6,BO46,0)</f>
        <v>0</v>
      </c>
      <c r="BU46" s="30" t="s">
        <v>39</v>
      </c>
      <c r="BV46" s="31">
        <f>IF($BJ$6=$BQ$6,BQ46,0)</f>
        <v>0</v>
      </c>
      <c r="BW46" s="12"/>
      <c r="BX46" s="12"/>
      <c r="BY46" s="12"/>
      <c r="BZ46" s="28" t="s">
        <v>34</v>
      </c>
      <c r="CA46" s="29">
        <f t="shared" ref="CA46:CA51" si="32">CA38</f>
        <v>0</v>
      </c>
      <c r="CB46" s="30" t="s">
        <v>39</v>
      </c>
      <c r="CC46" s="31">
        <f>CC38</f>
        <v>0</v>
      </c>
      <c r="CD46" s="12"/>
      <c r="CE46" s="28" t="s">
        <v>34</v>
      </c>
      <c r="CF46" s="29">
        <f t="shared" ref="CF46:CF51" si="33">IF(CA46=1,BO46,0)</f>
        <v>0</v>
      </c>
      <c r="CG46" s="30" t="s">
        <v>39</v>
      </c>
      <c r="CH46" s="31">
        <f>IF(CC46=1,BQ46,0)</f>
        <v>0</v>
      </c>
      <c r="CI46" s="13"/>
    </row>
    <row r="47" spans="1:87" ht="23.25" customHeight="1">
      <c r="A47" s="1312"/>
      <c r="B47" s="1306"/>
      <c r="C47" s="1307"/>
      <c r="D47" s="1310"/>
      <c r="E47" s="1322"/>
      <c r="F47" s="1324"/>
      <c r="G47" s="1326"/>
      <c r="H47" s="82" t="s">
        <v>35</v>
      </c>
      <c r="I47" s="29">
        <f>IF($AE$1&gt;0,0,'医療分・支援・子供・介護分（印刷））'!X57)</f>
        <v>0</v>
      </c>
      <c r="J47" s="30" t="s">
        <v>40</v>
      </c>
      <c r="K47" s="29">
        <f>IF($AE$1&gt;0,0,'医療分・支援・子供・介護分（印刷））'!Z57)</f>
        <v>0</v>
      </c>
      <c r="L47" s="28" t="s">
        <v>35</v>
      </c>
      <c r="M47" s="29">
        <f>IF($AE$1&gt;0,0,'医療分・支援・子供・介護分（印刷））'!X146)</f>
        <v>0</v>
      </c>
      <c r="N47" s="30" t="s">
        <v>40</v>
      </c>
      <c r="O47" s="31">
        <f>IF($AE$1&gt;0,0,'医療分・支援・子供・介護分（印刷））'!Z146)</f>
        <v>0</v>
      </c>
      <c r="P47" s="28" t="s">
        <v>35</v>
      </c>
      <c r="Q47" s="29">
        <f>IF($AE$1&gt;0,0,'医療分・支援・子供・介護分（印刷））'!X234)</f>
        <v>0</v>
      </c>
      <c r="R47" s="30" t="s">
        <v>40</v>
      </c>
      <c r="S47" s="29">
        <f>IF($AE$1&gt;0,0,'医療分・支援・子供・介護分（印刷））'!Z234)</f>
        <v>0</v>
      </c>
      <c r="T47" s="28" t="s">
        <v>35</v>
      </c>
      <c r="U47" s="29">
        <f>IF($AE$1&gt;0,0,'医療分・支援・子供・介護分（印刷））'!X323)</f>
        <v>0</v>
      </c>
      <c r="V47" s="30" t="s">
        <v>40</v>
      </c>
      <c r="W47" s="29">
        <f>IF($AE$1&gt;0,0,'医療分・支援・子供・介護分（印刷））'!Z323)</f>
        <v>0</v>
      </c>
      <c r="X47" s="262" t="s">
        <v>35</v>
      </c>
      <c r="Y47" s="125">
        <f t="shared" ref="Y47:Y51" si="34">I47+M47+Q47+U47</f>
        <v>0</v>
      </c>
      <c r="Z47" s="126" t="s">
        <v>40</v>
      </c>
      <c r="AA47" s="127">
        <f>K47+O47+S47+W47</f>
        <v>0</v>
      </c>
      <c r="AE47" s="56"/>
      <c r="AF47" s="12"/>
      <c r="AG47" s="1251"/>
      <c r="AH47" s="1252"/>
      <c r="AI47" s="50"/>
      <c r="AJ47" s="12"/>
      <c r="AK47" s="28" t="s">
        <v>35</v>
      </c>
      <c r="AL47" s="29">
        <f>SUM(Y46:Y47)</f>
        <v>0</v>
      </c>
      <c r="AM47" s="30" t="s">
        <v>40</v>
      </c>
      <c r="AN47" s="31">
        <f>Y46+Y47+Y48+Y49+Y50+Y51+AA46+AA47</f>
        <v>0</v>
      </c>
      <c r="AO47" s="12"/>
      <c r="AP47" s="28" t="s">
        <v>35</v>
      </c>
      <c r="AQ47" s="29">
        <f>IF($AG$6=$AL$7,AL47,0)</f>
        <v>0</v>
      </c>
      <c r="AR47" s="30" t="s">
        <v>40</v>
      </c>
      <c r="AS47" s="31">
        <f>IF($AG$6=$AN$7,AN47,0)</f>
        <v>0</v>
      </c>
      <c r="AT47" s="12"/>
      <c r="AU47" s="12"/>
      <c r="AV47" s="12"/>
      <c r="AW47" s="28" t="s">
        <v>35</v>
      </c>
      <c r="AX47" s="29">
        <f t="shared" si="30"/>
        <v>0</v>
      </c>
      <c r="AY47" s="30" t="s">
        <v>40</v>
      </c>
      <c r="AZ47" s="31">
        <f>AZ39</f>
        <v>0</v>
      </c>
      <c r="BA47" s="12"/>
      <c r="BB47" s="28" t="s">
        <v>35</v>
      </c>
      <c r="BC47" s="29">
        <f t="shared" si="31"/>
        <v>0</v>
      </c>
      <c r="BD47" s="30" t="s">
        <v>40</v>
      </c>
      <c r="BE47" s="31">
        <f>IF(AZ47=1,AN47,0)</f>
        <v>0</v>
      </c>
      <c r="BG47" s="12"/>
      <c r="BH47" s="56"/>
      <c r="BI47" s="12"/>
      <c r="BJ47" s="1251"/>
      <c r="BK47" s="1252"/>
      <c r="BL47" s="50"/>
      <c r="BM47" s="12"/>
      <c r="BN47" s="28" t="s">
        <v>35</v>
      </c>
      <c r="BO47" s="29">
        <f>Y47+Y48+Y49+Y50+Y51+AA46+AA47+AA48+AA49</f>
        <v>0</v>
      </c>
      <c r="BP47" s="30" t="s">
        <v>40</v>
      </c>
      <c r="BQ47" s="31">
        <f>SUM(AA47:AA49)</f>
        <v>0</v>
      </c>
      <c r="BR47" s="12"/>
      <c r="BS47" s="28" t="s">
        <v>35</v>
      </c>
      <c r="BT47" s="29">
        <f>IF($BJ$6=$BO$7,BO47,0)</f>
        <v>0</v>
      </c>
      <c r="BU47" s="30" t="s">
        <v>40</v>
      </c>
      <c r="BV47" s="31">
        <f>IF($BJ$6=$BQ$7,BQ47,0)</f>
        <v>0</v>
      </c>
      <c r="BW47" s="12"/>
      <c r="BX47" s="12"/>
      <c r="BY47" s="12"/>
      <c r="BZ47" s="28" t="s">
        <v>35</v>
      </c>
      <c r="CA47" s="29">
        <f t="shared" si="32"/>
        <v>0</v>
      </c>
      <c r="CB47" s="30" t="s">
        <v>40</v>
      </c>
      <c r="CC47" s="31">
        <f>CC39</f>
        <v>0</v>
      </c>
      <c r="CD47" s="12"/>
      <c r="CE47" s="28" t="s">
        <v>35</v>
      </c>
      <c r="CF47" s="29">
        <f t="shared" si="33"/>
        <v>0</v>
      </c>
      <c r="CG47" s="30" t="s">
        <v>40</v>
      </c>
      <c r="CH47" s="31">
        <f>IF(CC47=1,BQ47,0)</f>
        <v>0</v>
      </c>
      <c r="CI47" s="13"/>
    </row>
    <row r="48" spans="1:87" ht="23.25" customHeight="1">
      <c r="A48" s="1299">
        <f>入力画面!$L$9</f>
        <v>0</v>
      </c>
      <c r="B48" s="1300"/>
      <c r="C48" s="1300"/>
      <c r="D48" s="1301"/>
      <c r="E48" s="1297" t="s">
        <v>97</v>
      </c>
      <c r="F48" s="1327">
        <f>BD50+CG50</f>
        <v>0</v>
      </c>
      <c r="G48" s="1329" t="s">
        <v>6</v>
      </c>
      <c r="H48" s="82" t="s">
        <v>36</v>
      </c>
      <c r="I48" s="29">
        <f>IF($AE$1&gt;0,0,'医療分・支援・子供・介護分（印刷））'!X58)</f>
        <v>0</v>
      </c>
      <c r="J48" s="30" t="s">
        <v>41</v>
      </c>
      <c r="K48" s="29">
        <f>IF($AE$1&gt;0,0,'医療分・支援・子供・介護分（印刷））'!Z58)</f>
        <v>0</v>
      </c>
      <c r="L48" s="28" t="s">
        <v>36</v>
      </c>
      <c r="M48" s="29">
        <f>IF($AE$1&gt;0,0,'医療分・支援・子供・介護分（印刷））'!X147)</f>
        <v>0</v>
      </c>
      <c r="N48" s="30" t="s">
        <v>41</v>
      </c>
      <c r="O48" s="31">
        <f>IF($AE$1&gt;0,0,'医療分・支援・子供・介護分（印刷））'!Z147)</f>
        <v>0</v>
      </c>
      <c r="P48" s="28" t="s">
        <v>36</v>
      </c>
      <c r="Q48" s="29">
        <f>IF($AE$1&gt;0,0,'医療分・支援・子供・介護分（印刷））'!X235)</f>
        <v>0</v>
      </c>
      <c r="R48" s="30" t="s">
        <v>41</v>
      </c>
      <c r="S48" s="29">
        <f>IF($AE$1&gt;0,0,'医療分・支援・子供・介護分（印刷））'!Z235)</f>
        <v>0</v>
      </c>
      <c r="T48" s="28" t="s">
        <v>36</v>
      </c>
      <c r="U48" s="29">
        <f>IF($AE$1&gt;0,0,'医療分・支援・子供・介護分（印刷））'!X324)</f>
        <v>0</v>
      </c>
      <c r="V48" s="30" t="s">
        <v>41</v>
      </c>
      <c r="W48" s="29">
        <f>IF($AE$1&gt;0,0,'医療分・支援・子供・介護分（印刷））'!Z324)</f>
        <v>0</v>
      </c>
      <c r="X48" s="262" t="s">
        <v>36</v>
      </c>
      <c r="Y48" s="125">
        <f t="shared" si="34"/>
        <v>0</v>
      </c>
      <c r="Z48" s="126" t="s">
        <v>41</v>
      </c>
      <c r="AA48" s="127">
        <f t="shared" ref="AA48" si="35">K48+O48+S48+W48</f>
        <v>0</v>
      </c>
      <c r="AE48" s="56"/>
      <c r="AF48" s="12"/>
      <c r="AG48" s="1251"/>
      <c r="AH48" s="1252"/>
      <c r="AI48" s="50"/>
      <c r="AJ48" s="12"/>
      <c r="AK48" s="28" t="s">
        <v>36</v>
      </c>
      <c r="AL48" s="29">
        <f>SUM(Y46:Y48)</f>
        <v>0</v>
      </c>
      <c r="AM48" s="30" t="s">
        <v>41</v>
      </c>
      <c r="AN48" s="31">
        <f>Y46+Y47+Y48+Y49+Y50+Y51+AA46+AA47+AA48</f>
        <v>0</v>
      </c>
      <c r="AO48" s="12"/>
      <c r="AP48" s="28" t="s">
        <v>36</v>
      </c>
      <c r="AQ48" s="29">
        <f>IF($AG$6=$AL$8,AL48,0)</f>
        <v>0</v>
      </c>
      <c r="AR48" s="30" t="s">
        <v>41</v>
      </c>
      <c r="AS48" s="31">
        <f>IF($AG$6=$AN$8,AN48,0)</f>
        <v>0</v>
      </c>
      <c r="AT48" s="12"/>
      <c r="AU48" s="12"/>
      <c r="AV48" s="12"/>
      <c r="AW48" s="28" t="s">
        <v>36</v>
      </c>
      <c r="AX48" s="29">
        <f t="shared" si="30"/>
        <v>0</v>
      </c>
      <c r="AY48" s="30" t="s">
        <v>41</v>
      </c>
      <c r="AZ48" s="31">
        <f>AZ40</f>
        <v>0</v>
      </c>
      <c r="BA48" s="12"/>
      <c r="BB48" s="28" t="s">
        <v>36</v>
      </c>
      <c r="BC48" s="29">
        <f t="shared" si="31"/>
        <v>0</v>
      </c>
      <c r="BD48" s="30" t="s">
        <v>41</v>
      </c>
      <c r="BE48" s="31">
        <f>IF(AZ48=1,AN48,0)</f>
        <v>0</v>
      </c>
      <c r="BG48" s="12"/>
      <c r="BH48" s="56"/>
      <c r="BI48" s="12"/>
      <c r="BJ48" s="1251"/>
      <c r="BK48" s="1252"/>
      <c r="BL48" s="50"/>
      <c r="BM48" s="12"/>
      <c r="BN48" s="28" t="s">
        <v>36</v>
      </c>
      <c r="BO48" s="29">
        <f>Y48+Y49+Y50+Y51+AA46+AA47+AA48+AA49</f>
        <v>0</v>
      </c>
      <c r="BP48" s="30" t="s">
        <v>41</v>
      </c>
      <c r="BQ48" s="31">
        <f>SUM(AA48:AA49)</f>
        <v>0</v>
      </c>
      <c r="BR48" s="12"/>
      <c r="BS48" s="28" t="s">
        <v>36</v>
      </c>
      <c r="BT48" s="29">
        <f>IF($BJ$6=$BO$8,BO48,0)</f>
        <v>0</v>
      </c>
      <c r="BU48" s="30" t="s">
        <v>41</v>
      </c>
      <c r="BV48" s="31">
        <f>IF($BJ$6=$BQ$8,BQ48,0)</f>
        <v>0</v>
      </c>
      <c r="BW48" s="12"/>
      <c r="BX48" s="12"/>
      <c r="BY48" s="12"/>
      <c r="BZ48" s="28" t="s">
        <v>36</v>
      </c>
      <c r="CA48" s="29">
        <f t="shared" si="32"/>
        <v>0</v>
      </c>
      <c r="CB48" s="30" t="s">
        <v>41</v>
      </c>
      <c r="CC48" s="31">
        <f>CC40</f>
        <v>0</v>
      </c>
      <c r="CD48" s="12"/>
      <c r="CE48" s="28" t="s">
        <v>36</v>
      </c>
      <c r="CF48" s="29">
        <f t="shared" si="33"/>
        <v>0</v>
      </c>
      <c r="CG48" s="30" t="s">
        <v>41</v>
      </c>
      <c r="CH48" s="31">
        <f>IF(CC48=1,BQ48,0)</f>
        <v>0</v>
      </c>
      <c r="CI48" s="13"/>
    </row>
    <row r="49" spans="1:87" ht="23.25" customHeight="1">
      <c r="A49" s="1302"/>
      <c r="B49" s="1303"/>
      <c r="C49" s="1303"/>
      <c r="D49" s="1304"/>
      <c r="E49" s="1298"/>
      <c r="F49" s="1328"/>
      <c r="G49" s="1329"/>
      <c r="H49" s="82" t="s">
        <v>43</v>
      </c>
      <c r="I49" s="29">
        <f>IF($AE$1&gt;0,0,'医療分・支援・子供・介護分（印刷））'!X59)</f>
        <v>0</v>
      </c>
      <c r="J49" s="30" t="s">
        <v>42</v>
      </c>
      <c r="K49" s="29">
        <f>IF($AE$1&gt;0,0,'医療分・支援・子供・介護分（印刷））'!Z59)</f>
        <v>0</v>
      </c>
      <c r="L49" s="28" t="s">
        <v>43</v>
      </c>
      <c r="M49" s="29">
        <f>IF($AE$1&gt;0,0,'医療分・支援・子供・介護分（印刷））'!X148)</f>
        <v>0</v>
      </c>
      <c r="N49" s="30" t="s">
        <v>42</v>
      </c>
      <c r="O49" s="31">
        <f>IF($AE$1&gt;0,0,'医療分・支援・子供・介護分（印刷））'!Z148)</f>
        <v>0</v>
      </c>
      <c r="P49" s="28" t="s">
        <v>43</v>
      </c>
      <c r="Q49" s="29">
        <f>IF($AE$1&gt;0,0,'医療分・支援・子供・介護分（印刷））'!X236)</f>
        <v>0</v>
      </c>
      <c r="R49" s="30" t="s">
        <v>42</v>
      </c>
      <c r="S49" s="29">
        <f>IF($AE$1&gt;0,0,'医療分・支援・子供・介護分（印刷））'!Z236)</f>
        <v>0</v>
      </c>
      <c r="T49" s="28" t="s">
        <v>43</v>
      </c>
      <c r="U49" s="29">
        <f>IF($AE$1&gt;0,0,'医療分・支援・子供・介護分（印刷））'!X325)</f>
        <v>0</v>
      </c>
      <c r="V49" s="30" t="s">
        <v>42</v>
      </c>
      <c r="W49" s="29">
        <f>IF($AE$1&gt;0,0,'医療分・支援・子供・介護分（印刷））'!Z325)</f>
        <v>0</v>
      </c>
      <c r="X49" s="262" t="s">
        <v>43</v>
      </c>
      <c r="Y49" s="125">
        <f t="shared" si="34"/>
        <v>0</v>
      </c>
      <c r="Z49" s="263" t="s">
        <v>42</v>
      </c>
      <c r="AA49" s="127">
        <f>K49+O49+S49+W49</f>
        <v>0</v>
      </c>
      <c r="AE49" s="56"/>
      <c r="AF49" s="12"/>
      <c r="AG49" s="1259"/>
      <c r="AH49" s="1259"/>
      <c r="AI49" s="1259"/>
      <c r="AJ49" s="12"/>
      <c r="AK49" s="28" t="s">
        <v>43</v>
      </c>
      <c r="AL49" s="29">
        <f>SUM(Y46:Y49)</f>
        <v>0</v>
      </c>
      <c r="AM49" s="133" t="s">
        <v>93</v>
      </c>
      <c r="AN49" s="144">
        <f>Y46+Y47+Y48+Y49+Y50+Y51+AA46+AA47+AA48+AA49</f>
        <v>0</v>
      </c>
      <c r="AO49" s="12"/>
      <c r="AP49" s="28" t="s">
        <v>43</v>
      </c>
      <c r="AQ49" s="29">
        <f>IF($AG$6=$AL$9,AL49,0)</f>
        <v>0</v>
      </c>
      <c r="AR49" s="133" t="s">
        <v>93</v>
      </c>
      <c r="AS49" s="31">
        <f>IF($AG$6=$AN$9,AN49,0)</f>
        <v>0</v>
      </c>
      <c r="AT49" s="12"/>
      <c r="AU49" s="12"/>
      <c r="AV49" s="12"/>
      <c r="AW49" s="28" t="s">
        <v>43</v>
      </c>
      <c r="AX49" s="29">
        <f t="shared" si="30"/>
        <v>0</v>
      </c>
      <c r="AY49" s="133" t="s">
        <v>93</v>
      </c>
      <c r="AZ49" s="31">
        <f>AZ41</f>
        <v>0</v>
      </c>
      <c r="BA49" s="12"/>
      <c r="BB49" s="28" t="s">
        <v>43</v>
      </c>
      <c r="BC49" s="29">
        <f t="shared" si="31"/>
        <v>0</v>
      </c>
      <c r="BD49" s="133" t="s">
        <v>93</v>
      </c>
      <c r="BE49" s="31">
        <f>IF(AZ49=1,AN49,0)</f>
        <v>0</v>
      </c>
      <c r="BG49" s="12"/>
      <c r="BH49" s="56"/>
      <c r="BI49" s="12"/>
      <c r="BJ49" s="1259"/>
      <c r="BK49" s="1259"/>
      <c r="BL49" s="1259"/>
      <c r="BM49" s="12"/>
      <c r="BN49" s="28" t="s">
        <v>43</v>
      </c>
      <c r="BO49" s="29">
        <f>Y49+Y50+Y51+AA46+AA47+AA48+AA49</f>
        <v>0</v>
      </c>
      <c r="BP49" s="30" t="s">
        <v>42</v>
      </c>
      <c r="BQ49" s="144">
        <f>AA49</f>
        <v>0</v>
      </c>
      <c r="BR49" s="12"/>
      <c r="BS49" s="28" t="s">
        <v>43</v>
      </c>
      <c r="BT49" s="29">
        <f>IF($BJ$6=$BO$9,BO49,0)</f>
        <v>0</v>
      </c>
      <c r="BU49" s="133" t="s">
        <v>93</v>
      </c>
      <c r="BV49" s="31">
        <f>IF($BJ$6=$BQ$9,BQ49,0)</f>
        <v>0</v>
      </c>
      <c r="BW49" s="12"/>
      <c r="BX49" s="12"/>
      <c r="BY49" s="12"/>
      <c r="BZ49" s="28" t="s">
        <v>43</v>
      </c>
      <c r="CA49" s="29">
        <f t="shared" si="32"/>
        <v>0</v>
      </c>
      <c r="CB49" s="133" t="s">
        <v>93</v>
      </c>
      <c r="CC49" s="31">
        <f>CC41</f>
        <v>0</v>
      </c>
      <c r="CD49" s="12"/>
      <c r="CE49" s="28" t="s">
        <v>43</v>
      </c>
      <c r="CF49" s="29">
        <f t="shared" si="33"/>
        <v>0</v>
      </c>
      <c r="CG49" s="133" t="s">
        <v>93</v>
      </c>
      <c r="CH49" s="31">
        <f>IF(CC49=1,BQ49,0)</f>
        <v>0</v>
      </c>
      <c r="CI49" s="13"/>
    </row>
    <row r="50" spans="1:87" ht="23.25" customHeight="1">
      <c r="A50" s="1285">
        <f>IF((U47+U48+U49+U50+U51+W46+W47+W48+W49)&lt;0,"介護該当者は①から順に入力してください｡",0)</f>
        <v>0</v>
      </c>
      <c r="B50" s="1286"/>
      <c r="C50" s="1286"/>
      <c r="D50" s="1287"/>
      <c r="E50" s="1291">
        <f>IF(AU50=1,"＊入金額エラー＊",0)</f>
        <v>0</v>
      </c>
      <c r="F50" s="1292"/>
      <c r="G50" s="1293"/>
      <c r="H50" s="82" t="s">
        <v>37</v>
      </c>
      <c r="I50" s="29">
        <f>IF($AE$1&gt;0,0,'医療分・支援・子供・介護分（印刷））'!X60)</f>
        <v>0</v>
      </c>
      <c r="J50" s="1313" t="s">
        <v>44</v>
      </c>
      <c r="K50" s="1317">
        <f>IF(AE1&gt;0,0,'医療分・支援・子供・介護分（印刷））'!Z60)</f>
        <v>0</v>
      </c>
      <c r="L50" s="28" t="s">
        <v>37</v>
      </c>
      <c r="M50" s="29">
        <f>IF($AE$1&gt;0,0,'医療分・支援・子供・介護分（印刷））'!X149)</f>
        <v>0</v>
      </c>
      <c r="N50" s="1313" t="s">
        <v>44</v>
      </c>
      <c r="O50" s="1315">
        <f>IF($AE$1&gt;0,0,'医療分・支援・子供・介護分（印刷））'!Z149)</f>
        <v>0</v>
      </c>
      <c r="P50" s="28" t="s">
        <v>37</v>
      </c>
      <c r="Q50" s="29">
        <f>IF($AE$1&gt;0,0,'医療分・支援・子供・介護分（印刷））'!X237)</f>
        <v>0</v>
      </c>
      <c r="R50" s="1313" t="s">
        <v>44</v>
      </c>
      <c r="S50" s="1315">
        <f>IF(AE1&gt;0,0,'医療分・支援・子供・介護分（印刷））'!Z237)</f>
        <v>0</v>
      </c>
      <c r="T50" s="28" t="s">
        <v>37</v>
      </c>
      <c r="U50" s="29">
        <f>IF($AE$1&gt;0,0,'医療分・支援・子供・介護分（印刷））'!X326)</f>
        <v>0</v>
      </c>
      <c r="V50" s="1313" t="s">
        <v>44</v>
      </c>
      <c r="W50" s="1315">
        <f>IF(AI1&gt;0,0,'医療分・支援・子供・介護分（印刷））'!Z326)</f>
        <v>0</v>
      </c>
      <c r="X50" s="262" t="s">
        <v>37</v>
      </c>
      <c r="Y50" s="125">
        <f>I50+M50+Q50+U50</f>
        <v>0</v>
      </c>
      <c r="Z50" s="1319" t="s">
        <v>44</v>
      </c>
      <c r="AA50" s="1280">
        <f>K50+O50+S50+W50</f>
        <v>0</v>
      </c>
      <c r="AE50" s="56"/>
      <c r="AF50" s="12"/>
      <c r="AG50" s="1251"/>
      <c r="AH50" s="1252"/>
      <c r="AI50" s="50"/>
      <c r="AJ50" s="12"/>
      <c r="AK50" s="28" t="s">
        <v>37</v>
      </c>
      <c r="AL50" s="81">
        <f>SUM(Y46:Y50)</f>
        <v>0</v>
      </c>
      <c r="AM50" s="1253"/>
      <c r="AN50" s="1255"/>
      <c r="AO50" s="12"/>
      <c r="AP50" s="28" t="s">
        <v>37</v>
      </c>
      <c r="AQ50" s="29">
        <f>IF($AG$6=$AL$10,AL50,0)</f>
        <v>0</v>
      </c>
      <c r="AR50" s="1247">
        <f>AQ46+AQ47+AQ48+AQ49+AQ50+AQ51+AS46+AS47+AS48+AS49</f>
        <v>0</v>
      </c>
      <c r="AS50" s="1248"/>
      <c r="AT50" s="1257" t="str">
        <f>IF(AL46=0,"－",IF(AR50&lt;AG46,"エラー",0))</f>
        <v>－</v>
      </c>
      <c r="AU50" s="1257">
        <f>IF(AT50="エラー",1,0)</f>
        <v>0</v>
      </c>
      <c r="AV50" s="12"/>
      <c r="AW50" s="28" t="s">
        <v>37</v>
      </c>
      <c r="AX50" s="29">
        <f t="shared" si="30"/>
        <v>0</v>
      </c>
      <c r="AY50" s="1247"/>
      <c r="AZ50" s="1248"/>
      <c r="BA50" s="12"/>
      <c r="BB50" s="28" t="s">
        <v>37</v>
      </c>
      <c r="BC50" s="29">
        <f t="shared" si="31"/>
        <v>0</v>
      </c>
      <c r="BD50" s="1247">
        <f>BC46+BC47+BC48+BC49+BC50+BC51+BE46+BE47+BE48+BE49</f>
        <v>0</v>
      </c>
      <c r="BE50" s="1248"/>
      <c r="BG50" s="12"/>
      <c r="BH50" s="56"/>
      <c r="BI50" s="12"/>
      <c r="BJ50" s="1251"/>
      <c r="BK50" s="1252"/>
      <c r="BL50" s="50"/>
      <c r="BM50" s="12"/>
      <c r="BN50" s="28" t="s">
        <v>37</v>
      </c>
      <c r="BO50" s="81">
        <f>Y50+Y51+AA46+AA47+AA48+AA49</f>
        <v>0</v>
      </c>
      <c r="BP50" s="1253"/>
      <c r="BQ50" s="1255"/>
      <c r="BR50" s="12"/>
      <c r="BS50" s="28" t="s">
        <v>37</v>
      </c>
      <c r="BT50" s="29">
        <f>IF($BJ$6=$BO$10,BO50,0)</f>
        <v>0</v>
      </c>
      <c r="BU50" s="1247">
        <f>BT46+BT47+BT48+BT49+BT50+BT51+BV46+BV47+BV48+BV49</f>
        <v>0</v>
      </c>
      <c r="BV50" s="1248"/>
      <c r="BW50" s="1257" t="str">
        <f>IF(BO46=0,"－",IF(BU50&lt;BJ46,"エラー",0))</f>
        <v>－</v>
      </c>
      <c r="BX50" s="1257">
        <f>IF(BW50="エラー",1,0)</f>
        <v>0</v>
      </c>
      <c r="BY50" s="12"/>
      <c r="BZ50" s="28" t="s">
        <v>37</v>
      </c>
      <c r="CA50" s="29">
        <f t="shared" si="32"/>
        <v>0</v>
      </c>
      <c r="CB50" s="1247"/>
      <c r="CC50" s="1248"/>
      <c r="CD50" s="12"/>
      <c r="CE50" s="28" t="s">
        <v>37</v>
      </c>
      <c r="CF50" s="29">
        <f t="shared" si="33"/>
        <v>0</v>
      </c>
      <c r="CG50" s="1247">
        <f>CF46+CF47+CF48+CF49+CF50+CF51+CH46+CH47+CH48+CH49</f>
        <v>0</v>
      </c>
      <c r="CH50" s="1248"/>
      <c r="CI50" s="13"/>
    </row>
    <row r="51" spans="1:87" ht="23.25" customHeight="1">
      <c r="A51" s="1288"/>
      <c r="B51" s="1289"/>
      <c r="C51" s="1289"/>
      <c r="D51" s="1290"/>
      <c r="E51" s="1294"/>
      <c r="F51" s="1295"/>
      <c r="G51" s="1296"/>
      <c r="H51" s="128" t="s">
        <v>38</v>
      </c>
      <c r="I51" s="66">
        <f>IF($AE$1&gt;0,0,'医療分・支援・子供・介護分（印刷））'!X61)</f>
        <v>0</v>
      </c>
      <c r="J51" s="1314"/>
      <c r="K51" s="1318"/>
      <c r="L51" s="65" t="s">
        <v>38</v>
      </c>
      <c r="M51" s="66">
        <f>IF($AE$1&gt;0,0,'医療分・支援・子供・介護分（印刷））'!X150)</f>
        <v>0</v>
      </c>
      <c r="N51" s="1314"/>
      <c r="O51" s="1316"/>
      <c r="P51" s="65" t="s">
        <v>38</v>
      </c>
      <c r="Q51" s="66">
        <f>IF($AE$1&gt;0,0,'医療分・支援・子供・介護分（印刷））'!X238)</f>
        <v>0</v>
      </c>
      <c r="R51" s="1314"/>
      <c r="S51" s="1316"/>
      <c r="T51" s="65" t="s">
        <v>38</v>
      </c>
      <c r="U51" s="66">
        <f>IF($AE$1&gt;0,0,'医療分・支援・子供・介護分（印刷））'!X327)</f>
        <v>0</v>
      </c>
      <c r="V51" s="1314"/>
      <c r="W51" s="1316"/>
      <c r="X51" s="264" t="s">
        <v>38</v>
      </c>
      <c r="Y51" s="129">
        <f t="shared" si="34"/>
        <v>0</v>
      </c>
      <c r="Z51" s="1320"/>
      <c r="AA51" s="1281"/>
      <c r="AC51" s="272" t="str">
        <f>IF(AA50=0,"－",IF(F46=AA50,"ＯＫ","エラー"))</f>
        <v>－</v>
      </c>
      <c r="AE51" s="56"/>
      <c r="AF51" s="12"/>
      <c r="AG51" s="12"/>
      <c r="AH51" s="12"/>
      <c r="AI51" s="12"/>
      <c r="AJ51" s="12"/>
      <c r="AK51" s="65" t="s">
        <v>38</v>
      </c>
      <c r="AL51" s="132">
        <f>SUM(Y46:Y51)</f>
        <v>0</v>
      </c>
      <c r="AM51" s="1254"/>
      <c r="AN51" s="1256"/>
      <c r="AO51" s="12"/>
      <c r="AP51" s="65" t="s">
        <v>38</v>
      </c>
      <c r="AQ51" s="66">
        <f>IF($AG$6=$AL$11,AL51,0)</f>
        <v>0</v>
      </c>
      <c r="AR51" s="1249"/>
      <c r="AS51" s="1250"/>
      <c r="AT51" s="1258"/>
      <c r="AU51" s="1258"/>
      <c r="AV51" s="12"/>
      <c r="AW51" s="65" t="s">
        <v>38</v>
      </c>
      <c r="AX51" s="66">
        <f t="shared" si="30"/>
        <v>0</v>
      </c>
      <c r="AY51" s="1249"/>
      <c r="AZ51" s="1250"/>
      <c r="BA51" s="12"/>
      <c r="BB51" s="65" t="s">
        <v>38</v>
      </c>
      <c r="BC51" s="66">
        <f t="shared" si="31"/>
        <v>0</v>
      </c>
      <c r="BD51" s="1249"/>
      <c r="BE51" s="1250"/>
      <c r="BG51" s="12"/>
      <c r="BH51" s="56"/>
      <c r="BI51" s="12"/>
      <c r="BJ51" s="12"/>
      <c r="BK51" s="12"/>
      <c r="BL51" s="12"/>
      <c r="BM51" s="12"/>
      <c r="BN51" s="65" t="s">
        <v>38</v>
      </c>
      <c r="BO51" s="132">
        <f>Y51+AA46+AA47+AA48+AA49</f>
        <v>0</v>
      </c>
      <c r="BP51" s="1254"/>
      <c r="BQ51" s="1256"/>
      <c r="BR51" s="12"/>
      <c r="BS51" s="65" t="s">
        <v>38</v>
      </c>
      <c r="BT51" s="66">
        <f>IF($BJ$6=$BO$11,BO51,0)</f>
        <v>0</v>
      </c>
      <c r="BU51" s="1249"/>
      <c r="BV51" s="1250"/>
      <c r="BW51" s="1258"/>
      <c r="BX51" s="1258"/>
      <c r="BY51" s="12"/>
      <c r="BZ51" s="65" t="s">
        <v>38</v>
      </c>
      <c r="CA51" s="66">
        <f t="shared" si="32"/>
        <v>0</v>
      </c>
      <c r="CB51" s="1249"/>
      <c r="CC51" s="1250"/>
      <c r="CD51" s="12"/>
      <c r="CE51" s="65" t="s">
        <v>38</v>
      </c>
      <c r="CF51" s="66">
        <f t="shared" si="33"/>
        <v>0</v>
      </c>
      <c r="CG51" s="1249"/>
      <c r="CH51" s="1250"/>
      <c r="CI51" s="13"/>
    </row>
    <row r="52" spans="1:87" ht="9.9499999999999993" customHeight="1">
      <c r="E52" s="68"/>
      <c r="F52" s="68"/>
      <c r="G52" s="18"/>
      <c r="AE52" s="56"/>
      <c r="AF52" s="12"/>
      <c r="AG52" s="12"/>
      <c r="AH52" s="12"/>
      <c r="AI52" s="12"/>
      <c r="AJ52" s="12"/>
      <c r="AK52" s="4"/>
      <c r="AL52" s="4"/>
      <c r="AM52" s="4"/>
      <c r="AN52" s="4"/>
      <c r="AO52" s="12"/>
      <c r="AP52" s="4"/>
      <c r="AQ52" s="4"/>
      <c r="AR52" s="4"/>
      <c r="AS52" s="4"/>
      <c r="AT52" s="12"/>
      <c r="AU52" s="12"/>
      <c r="AV52" s="12"/>
      <c r="AW52" s="4"/>
      <c r="AX52" s="4"/>
      <c r="AY52" s="4"/>
      <c r="AZ52" s="4"/>
      <c r="BA52" s="12"/>
      <c r="BB52" s="4"/>
      <c r="BC52" s="4"/>
      <c r="BD52" s="4"/>
      <c r="BE52" s="4"/>
      <c r="BG52" s="12"/>
      <c r="BH52" s="56"/>
      <c r="BI52" s="12"/>
      <c r="BJ52" s="12"/>
      <c r="BK52" s="12"/>
      <c r="BL52" s="12"/>
      <c r="BM52" s="12"/>
      <c r="BN52" s="4"/>
      <c r="BO52" s="4"/>
      <c r="BP52" s="4"/>
      <c r="BQ52" s="4"/>
      <c r="BR52" s="12"/>
      <c r="BS52" s="4"/>
      <c r="BT52" s="4"/>
      <c r="BU52" s="4"/>
      <c r="BV52" s="4"/>
      <c r="BW52" s="12"/>
      <c r="BX52" s="12"/>
      <c r="BY52" s="12"/>
      <c r="BZ52" s="4"/>
      <c r="CA52" s="4"/>
      <c r="CB52" s="4"/>
      <c r="CC52" s="4"/>
      <c r="CD52" s="12"/>
      <c r="CE52" s="4"/>
      <c r="CF52" s="4"/>
      <c r="CG52" s="4"/>
      <c r="CH52" s="4"/>
      <c r="CI52" s="13"/>
    </row>
    <row r="53" spans="1:87" ht="23.25" customHeight="1">
      <c r="A53" s="1311" t="s">
        <v>156</v>
      </c>
      <c r="B53" s="1308" t="s">
        <v>77</v>
      </c>
      <c r="C53" s="1308"/>
      <c r="D53" s="1308"/>
      <c r="E53" s="1330" t="s">
        <v>82</v>
      </c>
      <c r="F53" s="1331"/>
      <c r="G53" s="1332"/>
      <c r="H53" s="1278" t="s">
        <v>69</v>
      </c>
      <c r="I53" s="1278"/>
      <c r="J53" s="1278"/>
      <c r="K53" s="1278"/>
      <c r="L53" s="1277" t="s">
        <v>159</v>
      </c>
      <c r="M53" s="1278"/>
      <c r="N53" s="1278"/>
      <c r="O53" s="1279"/>
      <c r="P53" s="1277" t="s">
        <v>409</v>
      </c>
      <c r="Q53" s="1278"/>
      <c r="R53" s="1278"/>
      <c r="S53" s="1279"/>
      <c r="T53" s="1277" t="s">
        <v>70</v>
      </c>
      <c r="U53" s="1278"/>
      <c r="V53" s="1278"/>
      <c r="W53" s="1279"/>
      <c r="X53" s="1277" t="s">
        <v>76</v>
      </c>
      <c r="Y53" s="1278"/>
      <c r="Z53" s="1278"/>
      <c r="AA53" s="1279"/>
      <c r="AE53" s="56"/>
      <c r="AF53" s="12"/>
      <c r="AG53" s="12"/>
      <c r="AH53" s="12"/>
      <c r="AI53" s="12"/>
      <c r="AJ53" s="12"/>
      <c r="AK53" s="1260" t="s">
        <v>94</v>
      </c>
      <c r="AL53" s="1261"/>
      <c r="AM53" s="1261"/>
      <c r="AN53" s="1262"/>
      <c r="AO53" s="12"/>
      <c r="AP53" s="1260" t="s">
        <v>95</v>
      </c>
      <c r="AQ53" s="1261"/>
      <c r="AR53" s="1261"/>
      <c r="AS53" s="1262"/>
      <c r="AT53" s="12"/>
      <c r="AU53" s="12"/>
      <c r="AV53" s="12"/>
      <c r="AW53" s="1260" t="s">
        <v>98</v>
      </c>
      <c r="AX53" s="1261"/>
      <c r="AY53" s="1261"/>
      <c r="AZ53" s="1262"/>
      <c r="BA53" s="12"/>
      <c r="BB53" s="1260" t="s">
        <v>98</v>
      </c>
      <c r="BC53" s="1261"/>
      <c r="BD53" s="1261"/>
      <c r="BE53" s="1262"/>
      <c r="BG53" s="12"/>
      <c r="BH53" s="56"/>
      <c r="BI53" s="12"/>
      <c r="BJ53" s="12"/>
      <c r="BK53" s="12"/>
      <c r="BL53" s="12"/>
      <c r="BM53" s="12"/>
      <c r="BN53" s="1260" t="s">
        <v>101</v>
      </c>
      <c r="BO53" s="1261"/>
      <c r="BP53" s="1261"/>
      <c r="BQ53" s="1262"/>
      <c r="BR53" s="12"/>
      <c r="BS53" s="1260" t="s">
        <v>95</v>
      </c>
      <c r="BT53" s="1261"/>
      <c r="BU53" s="1261"/>
      <c r="BV53" s="1262"/>
      <c r="BW53" s="12"/>
      <c r="BX53" s="12"/>
      <c r="BY53" s="12"/>
      <c r="BZ53" s="1260" t="s">
        <v>98</v>
      </c>
      <c r="CA53" s="1261"/>
      <c r="CB53" s="1261"/>
      <c r="CC53" s="1262"/>
      <c r="CD53" s="12"/>
      <c r="CE53" s="1260" t="s">
        <v>98</v>
      </c>
      <c r="CF53" s="1261"/>
      <c r="CG53" s="1261"/>
      <c r="CH53" s="1262"/>
      <c r="CI53" s="13"/>
    </row>
    <row r="54" spans="1:87" ht="23.25" customHeight="1">
      <c r="A54" s="1312"/>
      <c r="B54" s="1305">
        <f>入力画面!C37</f>
        <v>0</v>
      </c>
      <c r="C54" s="1300"/>
      <c r="D54" s="1309">
        <f>IF(F54&gt;0,"様",0)</f>
        <v>0</v>
      </c>
      <c r="E54" s="1321" t="s">
        <v>75</v>
      </c>
      <c r="F54" s="1323">
        <f>IF(AE1&gt;0,0,'医療分・支援・子供・介護分（印刷））'!U70+'医療分・支援・子供・介護分（印刷））'!U159+'医療分・支援・子供・介護分（印刷））'!U247+'医療分・支援・子供・介護分（印刷））'!U336)</f>
        <v>0</v>
      </c>
      <c r="G54" s="1325" t="s">
        <v>6</v>
      </c>
      <c r="H54" s="82" t="s">
        <v>34</v>
      </c>
      <c r="I54" s="29">
        <f>IF($AE$1&gt;0,0,'医療分・支援・子供・介護分（印刷））'!X66)</f>
        <v>0</v>
      </c>
      <c r="J54" s="30" t="s">
        <v>39</v>
      </c>
      <c r="K54" s="29">
        <f>IF($AE$1&gt;0,0,'医療分・支援・子供・介護分（印刷））'!Z66)</f>
        <v>0</v>
      </c>
      <c r="L54" s="28" t="s">
        <v>34</v>
      </c>
      <c r="M54" s="29">
        <f>IF($AE$1&gt;0,0,'医療分・支援・子供・介護分（印刷））'!X155)</f>
        <v>0</v>
      </c>
      <c r="N54" s="30" t="s">
        <v>39</v>
      </c>
      <c r="O54" s="31">
        <f>IF($AE$1&gt;0,0,'医療分・支援・子供・介護分（印刷））'!Z155)</f>
        <v>0</v>
      </c>
      <c r="P54" s="28" t="s">
        <v>34</v>
      </c>
      <c r="Q54" s="29">
        <f>IF($AE$1&gt;0,0,'医療分・支援・子供・介護分（印刷））'!X243)</f>
        <v>0</v>
      </c>
      <c r="R54" s="30" t="s">
        <v>39</v>
      </c>
      <c r="S54" s="29">
        <f>IF($AE$1&gt;0,0,'医療分・支援・子供・介護分（印刷））'!Z243)</f>
        <v>0</v>
      </c>
      <c r="T54" s="28" t="s">
        <v>34</v>
      </c>
      <c r="U54" s="29">
        <f>IF($AE$1&gt;0,0,'医療分・支援・子供・介護分（印刷））'!X332)</f>
        <v>0</v>
      </c>
      <c r="V54" s="30" t="s">
        <v>39</v>
      </c>
      <c r="W54" s="29">
        <f>IF($AE$1&gt;0,0,'医療分・支援・子供・介護分（印刷））'!Z332)</f>
        <v>0</v>
      </c>
      <c r="X54" s="258" t="s">
        <v>34</v>
      </c>
      <c r="Y54" s="259">
        <f>I54+M54+Q54+U54</f>
        <v>0</v>
      </c>
      <c r="Z54" s="260" t="s">
        <v>39</v>
      </c>
      <c r="AA54" s="261">
        <f>K54+O54+S54+W54</f>
        <v>0</v>
      </c>
      <c r="AE54" s="56"/>
      <c r="AF54" s="50"/>
      <c r="AG54" s="1263"/>
      <c r="AH54" s="1264"/>
      <c r="AI54" s="50"/>
      <c r="AJ54" s="12"/>
      <c r="AK54" s="28" t="s">
        <v>34</v>
      </c>
      <c r="AL54" s="29">
        <f>Y54</f>
        <v>0</v>
      </c>
      <c r="AM54" s="30" t="s">
        <v>39</v>
      </c>
      <c r="AN54" s="31">
        <f>Y54+Y55+Y56+Y57+Y58+Y59+AA54</f>
        <v>0</v>
      </c>
      <c r="AO54" s="12"/>
      <c r="AP54" s="28" t="s">
        <v>34</v>
      </c>
      <c r="AQ54" s="29">
        <f>IF($AG$6=$AL$6,AL54,0)</f>
        <v>0</v>
      </c>
      <c r="AR54" s="30" t="s">
        <v>39</v>
      </c>
      <c r="AS54" s="31">
        <f>IF($AG$6=$AN$6,AN54,0)</f>
        <v>0</v>
      </c>
      <c r="AT54" s="12"/>
      <c r="AU54" s="12"/>
      <c r="AV54" s="12"/>
      <c r="AW54" s="28" t="s">
        <v>34</v>
      </c>
      <c r="AX54" s="29">
        <f t="shared" ref="AX54:AX59" si="36">AX46</f>
        <v>0</v>
      </c>
      <c r="AY54" s="30" t="s">
        <v>39</v>
      </c>
      <c r="AZ54" s="31">
        <f>AZ46</f>
        <v>0</v>
      </c>
      <c r="BA54" s="12"/>
      <c r="BB54" s="28" t="s">
        <v>34</v>
      </c>
      <c r="BC54" s="29">
        <f t="shared" ref="BC54:BC59" si="37">IF(AX54=1,AL54,0)</f>
        <v>0</v>
      </c>
      <c r="BD54" s="30" t="s">
        <v>39</v>
      </c>
      <c r="BE54" s="31">
        <f>IF(AZ54=1,AN54,0)</f>
        <v>0</v>
      </c>
      <c r="BG54" s="12"/>
      <c r="BH54" s="56"/>
      <c r="BI54" s="50"/>
      <c r="BJ54" s="1263"/>
      <c r="BK54" s="1264"/>
      <c r="BL54" s="50"/>
      <c r="BM54" s="12"/>
      <c r="BN54" s="28" t="s">
        <v>34</v>
      </c>
      <c r="BO54" s="29">
        <f>Y54+Y55+Y56+Y57+Y58+Y59+AA54+AA55+AA56+AA57</f>
        <v>0</v>
      </c>
      <c r="BP54" s="30" t="s">
        <v>39</v>
      </c>
      <c r="BQ54" s="31">
        <f>SUM(AA54:AA57)</f>
        <v>0</v>
      </c>
      <c r="BR54" s="12"/>
      <c r="BS54" s="28" t="s">
        <v>34</v>
      </c>
      <c r="BT54" s="29">
        <f>IF($BJ$6=$BO$6,BO54,0)</f>
        <v>0</v>
      </c>
      <c r="BU54" s="30" t="s">
        <v>39</v>
      </c>
      <c r="BV54" s="31">
        <f>IF($BJ$6=$BQ$6,BQ54,0)</f>
        <v>0</v>
      </c>
      <c r="BW54" s="12"/>
      <c r="BX54" s="12"/>
      <c r="BY54" s="12"/>
      <c r="BZ54" s="28" t="s">
        <v>34</v>
      </c>
      <c r="CA54" s="29">
        <f t="shared" ref="CA54:CA59" si="38">CA46</f>
        <v>0</v>
      </c>
      <c r="CB54" s="30" t="s">
        <v>39</v>
      </c>
      <c r="CC54" s="31">
        <f>CC46</f>
        <v>0</v>
      </c>
      <c r="CD54" s="12"/>
      <c r="CE54" s="28" t="s">
        <v>34</v>
      </c>
      <c r="CF54" s="29">
        <f t="shared" ref="CF54:CF59" si="39">IF(CA54=1,BO54,0)</f>
        <v>0</v>
      </c>
      <c r="CG54" s="30" t="s">
        <v>39</v>
      </c>
      <c r="CH54" s="31">
        <f>IF(CC54=1,BQ54,0)</f>
        <v>0</v>
      </c>
      <c r="CI54" s="13"/>
    </row>
    <row r="55" spans="1:87" ht="23.25" customHeight="1">
      <c r="A55" s="1312"/>
      <c r="B55" s="1306"/>
      <c r="C55" s="1307"/>
      <c r="D55" s="1310"/>
      <c r="E55" s="1322"/>
      <c r="F55" s="1324"/>
      <c r="G55" s="1326"/>
      <c r="H55" s="82" t="s">
        <v>35</v>
      </c>
      <c r="I55" s="29">
        <f>IF($AE$1&gt;0,0,'医療分・支援・子供・介護分（印刷））'!X67)</f>
        <v>0</v>
      </c>
      <c r="J55" s="30" t="s">
        <v>40</v>
      </c>
      <c r="K55" s="29">
        <f>IF($AE$1&gt;0,0,'医療分・支援・子供・介護分（印刷））'!Z67)</f>
        <v>0</v>
      </c>
      <c r="L55" s="28" t="s">
        <v>35</v>
      </c>
      <c r="M55" s="29">
        <f>IF($AE$1&gt;0,0,'医療分・支援・子供・介護分（印刷））'!X156)</f>
        <v>0</v>
      </c>
      <c r="N55" s="30" t="s">
        <v>40</v>
      </c>
      <c r="O55" s="31">
        <f>IF($AE$1&gt;0,0,'医療分・支援・子供・介護分（印刷））'!Z156)</f>
        <v>0</v>
      </c>
      <c r="P55" s="28" t="s">
        <v>35</v>
      </c>
      <c r="Q55" s="29">
        <f>IF($AE$1&gt;0,0,'医療分・支援・子供・介護分（印刷））'!X244)</f>
        <v>0</v>
      </c>
      <c r="R55" s="30" t="s">
        <v>40</v>
      </c>
      <c r="S55" s="29">
        <f>IF($AE$1&gt;0,0,'医療分・支援・子供・介護分（印刷））'!Z244)</f>
        <v>0</v>
      </c>
      <c r="T55" s="28" t="s">
        <v>35</v>
      </c>
      <c r="U55" s="29">
        <f>IF($AE$1&gt;0,0,'医療分・支援・子供・介護分（印刷））'!X333)</f>
        <v>0</v>
      </c>
      <c r="V55" s="30" t="s">
        <v>40</v>
      </c>
      <c r="W55" s="29">
        <f>IF($AE$1&gt;0,0,'医療分・支援・子供・介護分（印刷））'!Z333)</f>
        <v>0</v>
      </c>
      <c r="X55" s="262" t="s">
        <v>35</v>
      </c>
      <c r="Y55" s="125">
        <f t="shared" ref="Y55:Y58" si="40">I55+M55+Q55+U55</f>
        <v>0</v>
      </c>
      <c r="Z55" s="126" t="s">
        <v>40</v>
      </c>
      <c r="AA55" s="127">
        <f t="shared" ref="AA55:AA56" si="41">K55+O55+S55+W55</f>
        <v>0</v>
      </c>
      <c r="AE55" s="56"/>
      <c r="AF55" s="12"/>
      <c r="AG55" s="1251"/>
      <c r="AH55" s="1252"/>
      <c r="AI55" s="50"/>
      <c r="AJ55" s="12"/>
      <c r="AK55" s="28" t="s">
        <v>35</v>
      </c>
      <c r="AL55" s="29">
        <f>SUM(Y54:Y55)</f>
        <v>0</v>
      </c>
      <c r="AM55" s="30" t="s">
        <v>40</v>
      </c>
      <c r="AN55" s="31">
        <f>Y54+Y55+Y56+Y57+Y58+Y59+AA54+AA55</f>
        <v>0</v>
      </c>
      <c r="AO55" s="12"/>
      <c r="AP55" s="28" t="s">
        <v>35</v>
      </c>
      <c r="AQ55" s="29">
        <f>IF($AG$6=$AL$7,AL55,0)</f>
        <v>0</v>
      </c>
      <c r="AR55" s="30" t="s">
        <v>40</v>
      </c>
      <c r="AS55" s="31">
        <f>IF($AG$6=$AN$7,AN55,0)</f>
        <v>0</v>
      </c>
      <c r="AT55" s="12"/>
      <c r="AU55" s="12"/>
      <c r="AV55" s="12"/>
      <c r="AW55" s="28" t="s">
        <v>35</v>
      </c>
      <c r="AX55" s="29">
        <f t="shared" si="36"/>
        <v>0</v>
      </c>
      <c r="AY55" s="30" t="s">
        <v>40</v>
      </c>
      <c r="AZ55" s="31">
        <f>AZ47</f>
        <v>0</v>
      </c>
      <c r="BA55" s="12"/>
      <c r="BB55" s="28" t="s">
        <v>35</v>
      </c>
      <c r="BC55" s="29">
        <f t="shared" si="37"/>
        <v>0</v>
      </c>
      <c r="BD55" s="30" t="s">
        <v>40</v>
      </c>
      <c r="BE55" s="31">
        <f>IF(AZ55=1,AN55,0)</f>
        <v>0</v>
      </c>
      <c r="BG55" s="12"/>
      <c r="BH55" s="56"/>
      <c r="BI55" s="12"/>
      <c r="BJ55" s="1251"/>
      <c r="BK55" s="1252"/>
      <c r="BL55" s="50"/>
      <c r="BM55" s="12"/>
      <c r="BN55" s="28" t="s">
        <v>35</v>
      </c>
      <c r="BO55" s="29">
        <f>Y55+Y56+Y57+Y58+Y59+AA54+AA55+AA56+AA57</f>
        <v>0</v>
      </c>
      <c r="BP55" s="30" t="s">
        <v>40</v>
      </c>
      <c r="BQ55" s="31">
        <f>SUM(AA55:AA57)</f>
        <v>0</v>
      </c>
      <c r="BR55" s="12"/>
      <c r="BS55" s="28" t="s">
        <v>35</v>
      </c>
      <c r="BT55" s="29">
        <f>IF($BJ$6=$BO$7,BO55,0)</f>
        <v>0</v>
      </c>
      <c r="BU55" s="30" t="s">
        <v>40</v>
      </c>
      <c r="BV55" s="31">
        <f>IF($BJ$6=$BQ$7,BQ55,0)</f>
        <v>0</v>
      </c>
      <c r="BW55" s="12"/>
      <c r="BX55" s="12"/>
      <c r="BY55" s="12"/>
      <c r="BZ55" s="28" t="s">
        <v>35</v>
      </c>
      <c r="CA55" s="29">
        <f t="shared" si="38"/>
        <v>0</v>
      </c>
      <c r="CB55" s="30" t="s">
        <v>40</v>
      </c>
      <c r="CC55" s="31">
        <f>CC47</f>
        <v>0</v>
      </c>
      <c r="CD55" s="12"/>
      <c r="CE55" s="28" t="s">
        <v>35</v>
      </c>
      <c r="CF55" s="29">
        <f t="shared" si="39"/>
        <v>0</v>
      </c>
      <c r="CG55" s="30" t="s">
        <v>40</v>
      </c>
      <c r="CH55" s="31">
        <f>IF(CC55=1,BQ55,0)</f>
        <v>0</v>
      </c>
      <c r="CI55" s="13"/>
    </row>
    <row r="56" spans="1:87" ht="23.25" customHeight="1">
      <c r="A56" s="1299">
        <f>入力画面!$L$9</f>
        <v>0</v>
      </c>
      <c r="B56" s="1300"/>
      <c r="C56" s="1300"/>
      <c r="D56" s="1301"/>
      <c r="E56" s="1297" t="s">
        <v>97</v>
      </c>
      <c r="F56" s="1327">
        <f>BD58+CG58</f>
        <v>0</v>
      </c>
      <c r="G56" s="1329" t="s">
        <v>6</v>
      </c>
      <c r="H56" s="82" t="s">
        <v>36</v>
      </c>
      <c r="I56" s="29">
        <f>IF($AE$1&gt;0,0,'医療分・支援・子供・介護分（印刷））'!X68)</f>
        <v>0</v>
      </c>
      <c r="J56" s="30" t="s">
        <v>41</v>
      </c>
      <c r="K56" s="29">
        <f>IF($AE$1&gt;0,0,'医療分・支援・子供・介護分（印刷））'!Z68)</f>
        <v>0</v>
      </c>
      <c r="L56" s="28" t="s">
        <v>36</v>
      </c>
      <c r="M56" s="29">
        <f>IF($AE$1&gt;0,0,'医療分・支援・子供・介護分（印刷））'!X157)</f>
        <v>0</v>
      </c>
      <c r="N56" s="30" t="s">
        <v>41</v>
      </c>
      <c r="O56" s="31">
        <f>IF($AE$1&gt;0,0,'医療分・支援・子供・介護分（印刷））'!Z157)</f>
        <v>0</v>
      </c>
      <c r="P56" s="28" t="s">
        <v>36</v>
      </c>
      <c r="Q56" s="29">
        <f>IF($AE$1&gt;0,0,'医療分・支援・子供・介護分（印刷））'!X245)</f>
        <v>0</v>
      </c>
      <c r="R56" s="30" t="s">
        <v>41</v>
      </c>
      <c r="S56" s="29">
        <f>IF($AE$1&gt;0,0,'医療分・支援・子供・介護分（印刷））'!Z245)</f>
        <v>0</v>
      </c>
      <c r="T56" s="28" t="s">
        <v>36</v>
      </c>
      <c r="U56" s="29">
        <f>IF($AE$1&gt;0,0,'医療分・支援・子供・介護分（印刷））'!X334)</f>
        <v>0</v>
      </c>
      <c r="V56" s="30" t="s">
        <v>41</v>
      </c>
      <c r="W56" s="29">
        <f>IF($AE$1&gt;0,0,'医療分・支援・子供・介護分（印刷））'!Z334)</f>
        <v>0</v>
      </c>
      <c r="X56" s="262" t="s">
        <v>36</v>
      </c>
      <c r="Y56" s="125">
        <f t="shared" si="40"/>
        <v>0</v>
      </c>
      <c r="Z56" s="126" t="s">
        <v>41</v>
      </c>
      <c r="AA56" s="127">
        <f t="shared" si="41"/>
        <v>0</v>
      </c>
      <c r="AE56" s="56"/>
      <c r="AF56" s="12"/>
      <c r="AG56" s="1251"/>
      <c r="AH56" s="1252"/>
      <c r="AI56" s="50"/>
      <c r="AJ56" s="12"/>
      <c r="AK56" s="28" t="s">
        <v>36</v>
      </c>
      <c r="AL56" s="29">
        <f>SUM(Y54:Y56)</f>
        <v>0</v>
      </c>
      <c r="AM56" s="30" t="s">
        <v>41</v>
      </c>
      <c r="AN56" s="31">
        <f>Y54+Y55+Y56+Y57+Y58+Y59+AA54+AA55+AA56</f>
        <v>0</v>
      </c>
      <c r="AO56" s="12"/>
      <c r="AP56" s="28" t="s">
        <v>36</v>
      </c>
      <c r="AQ56" s="29">
        <f>IF($AG$6=$AL$8,AL56,0)</f>
        <v>0</v>
      </c>
      <c r="AR56" s="30" t="s">
        <v>41</v>
      </c>
      <c r="AS56" s="31">
        <f>IF($AG$6=$AN$8,AN56,0)</f>
        <v>0</v>
      </c>
      <c r="AT56" s="12"/>
      <c r="AU56" s="12"/>
      <c r="AV56" s="12"/>
      <c r="AW56" s="28" t="s">
        <v>36</v>
      </c>
      <c r="AX56" s="29">
        <f t="shared" si="36"/>
        <v>0</v>
      </c>
      <c r="AY56" s="30" t="s">
        <v>41</v>
      </c>
      <c r="AZ56" s="31">
        <f>AZ48</f>
        <v>0</v>
      </c>
      <c r="BA56" s="12"/>
      <c r="BB56" s="28" t="s">
        <v>36</v>
      </c>
      <c r="BC56" s="29">
        <f t="shared" si="37"/>
        <v>0</v>
      </c>
      <c r="BD56" s="30" t="s">
        <v>41</v>
      </c>
      <c r="BE56" s="31">
        <f>IF(AZ56=1,AN56,0)</f>
        <v>0</v>
      </c>
      <c r="BG56" s="12"/>
      <c r="BH56" s="56"/>
      <c r="BI56" s="12"/>
      <c r="BJ56" s="1251"/>
      <c r="BK56" s="1252"/>
      <c r="BL56" s="50"/>
      <c r="BM56" s="12"/>
      <c r="BN56" s="28" t="s">
        <v>36</v>
      </c>
      <c r="BO56" s="29">
        <f>Y56+Y57+Y58+Y59+AA54+AA55+AA56+AA57</f>
        <v>0</v>
      </c>
      <c r="BP56" s="30" t="s">
        <v>41</v>
      </c>
      <c r="BQ56" s="31">
        <f>SUM(AA56:AA57)</f>
        <v>0</v>
      </c>
      <c r="BR56" s="12"/>
      <c r="BS56" s="28" t="s">
        <v>36</v>
      </c>
      <c r="BT56" s="29">
        <f>IF($BJ$6=$BO$8,BO56,0)</f>
        <v>0</v>
      </c>
      <c r="BU56" s="30" t="s">
        <v>41</v>
      </c>
      <c r="BV56" s="31">
        <f>IF($BJ$6=$BQ$8,BQ56,0)</f>
        <v>0</v>
      </c>
      <c r="BW56" s="12"/>
      <c r="BX56" s="12"/>
      <c r="BY56" s="12"/>
      <c r="BZ56" s="28" t="s">
        <v>36</v>
      </c>
      <c r="CA56" s="29">
        <f t="shared" si="38"/>
        <v>0</v>
      </c>
      <c r="CB56" s="30" t="s">
        <v>41</v>
      </c>
      <c r="CC56" s="31">
        <f>CC48</f>
        <v>0</v>
      </c>
      <c r="CD56" s="12"/>
      <c r="CE56" s="28" t="s">
        <v>36</v>
      </c>
      <c r="CF56" s="29">
        <f t="shared" si="39"/>
        <v>0</v>
      </c>
      <c r="CG56" s="30" t="s">
        <v>41</v>
      </c>
      <c r="CH56" s="31">
        <f>IF(CC56=1,BQ56,0)</f>
        <v>0</v>
      </c>
      <c r="CI56" s="13"/>
    </row>
    <row r="57" spans="1:87" ht="23.25" customHeight="1">
      <c r="A57" s="1302"/>
      <c r="B57" s="1303"/>
      <c r="C57" s="1303"/>
      <c r="D57" s="1304"/>
      <c r="E57" s="1298"/>
      <c r="F57" s="1328"/>
      <c r="G57" s="1329"/>
      <c r="H57" s="82" t="s">
        <v>43</v>
      </c>
      <c r="I57" s="29">
        <f>IF($AE$1&gt;0,0,'医療分・支援・子供・介護分（印刷））'!X69)</f>
        <v>0</v>
      </c>
      <c r="J57" s="30" t="s">
        <v>42</v>
      </c>
      <c r="K57" s="29">
        <f>IF($AE$1&gt;0,0,'医療分・支援・子供・介護分（印刷））'!Z69)</f>
        <v>0</v>
      </c>
      <c r="L57" s="28" t="s">
        <v>43</v>
      </c>
      <c r="M57" s="29">
        <f>IF($AE$1&gt;0,0,'医療分・支援・子供・介護分（印刷））'!X158)</f>
        <v>0</v>
      </c>
      <c r="N57" s="30" t="s">
        <v>42</v>
      </c>
      <c r="O57" s="31">
        <f>IF($AE$1&gt;0,0,'医療分・支援・子供・介護分（印刷））'!Z158)</f>
        <v>0</v>
      </c>
      <c r="P57" s="28" t="s">
        <v>43</v>
      </c>
      <c r="Q57" s="29">
        <f>IF($AE$1&gt;0,0,'医療分・支援・子供・介護分（印刷））'!X246)</f>
        <v>0</v>
      </c>
      <c r="R57" s="30" t="s">
        <v>42</v>
      </c>
      <c r="S57" s="29">
        <f>IF($AE$1&gt;0,0,'医療分・支援・子供・介護分（印刷））'!Z246)</f>
        <v>0</v>
      </c>
      <c r="T57" s="28" t="s">
        <v>43</v>
      </c>
      <c r="U57" s="29">
        <f>IF($AE$1&gt;0,0,'医療分・支援・子供・介護分（印刷））'!X335)</f>
        <v>0</v>
      </c>
      <c r="V57" s="30" t="s">
        <v>42</v>
      </c>
      <c r="W57" s="29">
        <f>IF($AE$1&gt;0,0,'医療分・支援・子供・介護分（印刷））'!Z335)</f>
        <v>0</v>
      </c>
      <c r="X57" s="262" t="s">
        <v>43</v>
      </c>
      <c r="Y57" s="125">
        <f t="shared" si="40"/>
        <v>0</v>
      </c>
      <c r="Z57" s="263" t="s">
        <v>42</v>
      </c>
      <c r="AA57" s="127">
        <f>K57+O57+S57+W57</f>
        <v>0</v>
      </c>
      <c r="AE57" s="56"/>
      <c r="AF57" s="12"/>
      <c r="AG57" s="1259"/>
      <c r="AH57" s="1259"/>
      <c r="AI57" s="1259"/>
      <c r="AJ57" s="12"/>
      <c r="AK57" s="28" t="s">
        <v>43</v>
      </c>
      <c r="AL57" s="29">
        <f>SUM(Y54:Y57)</f>
        <v>0</v>
      </c>
      <c r="AM57" s="133" t="s">
        <v>93</v>
      </c>
      <c r="AN57" s="144">
        <f>Y54+Y55+Y56+Y57+Y58+Y59+AA54+AA55+AA56+AA57</f>
        <v>0</v>
      </c>
      <c r="AO57" s="12"/>
      <c r="AP57" s="28" t="s">
        <v>43</v>
      </c>
      <c r="AQ57" s="29">
        <f>IF($AG$6=$AL$9,AL57,0)</f>
        <v>0</v>
      </c>
      <c r="AR57" s="133" t="s">
        <v>93</v>
      </c>
      <c r="AS57" s="31">
        <f>IF($AG$6=$AN$9,AN57,0)</f>
        <v>0</v>
      </c>
      <c r="AT57" s="12"/>
      <c r="AU57" s="12"/>
      <c r="AV57" s="12"/>
      <c r="AW57" s="28" t="s">
        <v>43</v>
      </c>
      <c r="AX57" s="29">
        <f t="shared" si="36"/>
        <v>0</v>
      </c>
      <c r="AY57" s="133" t="s">
        <v>93</v>
      </c>
      <c r="AZ57" s="31">
        <f>AZ49</f>
        <v>0</v>
      </c>
      <c r="BA57" s="12"/>
      <c r="BB57" s="28" t="s">
        <v>43</v>
      </c>
      <c r="BC57" s="29">
        <f t="shared" si="37"/>
        <v>0</v>
      </c>
      <c r="BD57" s="133" t="s">
        <v>93</v>
      </c>
      <c r="BE57" s="31">
        <f>IF(AZ57=1,AN57,0)</f>
        <v>0</v>
      </c>
      <c r="BG57" s="12"/>
      <c r="BH57" s="56"/>
      <c r="BI57" s="12"/>
      <c r="BJ57" s="1259"/>
      <c r="BK57" s="1259"/>
      <c r="BL57" s="1259"/>
      <c r="BM57" s="12"/>
      <c r="BN57" s="28" t="s">
        <v>43</v>
      </c>
      <c r="BO57" s="29">
        <f>Y57+Y58+Y59+AA54+AA55+AA56+AA57</f>
        <v>0</v>
      </c>
      <c r="BP57" s="30" t="s">
        <v>42</v>
      </c>
      <c r="BQ57" s="144">
        <f>AA57</f>
        <v>0</v>
      </c>
      <c r="BR57" s="12"/>
      <c r="BS57" s="28" t="s">
        <v>43</v>
      </c>
      <c r="BT57" s="29">
        <f>IF($BJ$6=$BO$9,BO57,0)</f>
        <v>0</v>
      </c>
      <c r="BU57" s="133" t="s">
        <v>93</v>
      </c>
      <c r="BV57" s="31">
        <f>IF($BJ$6=$BQ$9,BQ57,0)</f>
        <v>0</v>
      </c>
      <c r="BW57" s="12"/>
      <c r="BX57" s="12"/>
      <c r="BY57" s="12"/>
      <c r="BZ57" s="28" t="s">
        <v>43</v>
      </c>
      <c r="CA57" s="29">
        <f t="shared" si="38"/>
        <v>0</v>
      </c>
      <c r="CB57" s="133" t="s">
        <v>93</v>
      </c>
      <c r="CC57" s="31">
        <f>CC49</f>
        <v>0</v>
      </c>
      <c r="CD57" s="12"/>
      <c r="CE57" s="28" t="s">
        <v>43</v>
      </c>
      <c r="CF57" s="29">
        <f t="shared" si="39"/>
        <v>0</v>
      </c>
      <c r="CG57" s="133" t="s">
        <v>93</v>
      </c>
      <c r="CH57" s="31">
        <f>IF(CC57=1,BQ57,0)</f>
        <v>0</v>
      </c>
      <c r="CI57" s="13"/>
    </row>
    <row r="58" spans="1:87" ht="23.25" customHeight="1">
      <c r="A58" s="1285">
        <f>IF((U55+U56+U57+U58+U59+W54+W55+W56+W57)&lt;0,"介護該当者は①から順に入力してください｡",0)</f>
        <v>0</v>
      </c>
      <c r="B58" s="1286"/>
      <c r="C58" s="1286"/>
      <c r="D58" s="1287"/>
      <c r="E58" s="1291">
        <f>IF(AU58=1,"＊入金額エラー＊",0)</f>
        <v>0</v>
      </c>
      <c r="F58" s="1292"/>
      <c r="G58" s="1293"/>
      <c r="H58" s="82" t="s">
        <v>37</v>
      </c>
      <c r="I58" s="29">
        <f>IF($AE$1&gt;0,0,'医療分・支援・子供・介護分（印刷））'!X70)</f>
        <v>0</v>
      </c>
      <c r="J58" s="1313" t="s">
        <v>44</v>
      </c>
      <c r="K58" s="1317">
        <f>IF(AE1&gt;0,0,'医療分・支援・子供・介護分（印刷））'!Z70)</f>
        <v>0</v>
      </c>
      <c r="L58" s="28" t="s">
        <v>37</v>
      </c>
      <c r="M58" s="29">
        <f>IF($AE$1&gt;0,0,'医療分・支援・子供・介護分（印刷））'!X159)</f>
        <v>0</v>
      </c>
      <c r="N58" s="1313" t="s">
        <v>44</v>
      </c>
      <c r="O58" s="1315">
        <f>IF($AE$1&gt;0,0,'医療分・支援・子供・介護分（印刷））'!Z159)</f>
        <v>0</v>
      </c>
      <c r="P58" s="28" t="s">
        <v>37</v>
      </c>
      <c r="Q58" s="29">
        <f>IF($AE$1&gt;0,0,'医療分・支援・子供・介護分（印刷））'!X247)</f>
        <v>0</v>
      </c>
      <c r="R58" s="1313" t="s">
        <v>44</v>
      </c>
      <c r="S58" s="1315">
        <f>IF($AE$1&gt;0,0,'医療分・支援・子供・介護分（印刷））'!Z247)</f>
        <v>0</v>
      </c>
      <c r="T58" s="28" t="s">
        <v>37</v>
      </c>
      <c r="U58" s="29">
        <f>IF($AE$1&gt;0,0,'医療分・支援・子供・介護分（印刷））'!X336)</f>
        <v>0</v>
      </c>
      <c r="V58" s="1313" t="s">
        <v>44</v>
      </c>
      <c r="W58" s="1315">
        <f>IF(AI1&gt;0,0,'医療分・支援・子供・介護分（印刷））'!Z336)</f>
        <v>0</v>
      </c>
      <c r="X58" s="262" t="s">
        <v>37</v>
      </c>
      <c r="Y58" s="125">
        <f t="shared" si="40"/>
        <v>0</v>
      </c>
      <c r="Z58" s="1319" t="s">
        <v>44</v>
      </c>
      <c r="AA58" s="1280">
        <f>K58+O58+S58+W58</f>
        <v>0</v>
      </c>
      <c r="AE58" s="56"/>
      <c r="AF58" s="12"/>
      <c r="AG58" s="1251"/>
      <c r="AH58" s="1252"/>
      <c r="AI58" s="50"/>
      <c r="AJ58" s="12"/>
      <c r="AK58" s="28" t="s">
        <v>37</v>
      </c>
      <c r="AL58" s="81">
        <f>SUM(Y54:Y58)</f>
        <v>0</v>
      </c>
      <c r="AM58" s="1253"/>
      <c r="AN58" s="1255"/>
      <c r="AO58" s="12"/>
      <c r="AP58" s="28" t="s">
        <v>37</v>
      </c>
      <c r="AQ58" s="29">
        <f>IF($AG$6=$AL$10,AL58,0)</f>
        <v>0</v>
      </c>
      <c r="AR58" s="1247">
        <f>AQ54+AQ55+AQ56+AQ57+AQ58+AQ59+AS54+AS55+AS56+AS57</f>
        <v>0</v>
      </c>
      <c r="AS58" s="1248"/>
      <c r="AT58" s="1257" t="str">
        <f>IF(AL54=0,"－",IF(AR58&lt;AG54,"エラー",0))</f>
        <v>－</v>
      </c>
      <c r="AU58" s="1257">
        <f>IF(AT58="エラー",1,0)</f>
        <v>0</v>
      </c>
      <c r="AV58" s="12"/>
      <c r="AW58" s="28" t="s">
        <v>37</v>
      </c>
      <c r="AX58" s="29">
        <f t="shared" si="36"/>
        <v>0</v>
      </c>
      <c r="AY58" s="1247"/>
      <c r="AZ58" s="1248"/>
      <c r="BA58" s="12"/>
      <c r="BB58" s="28" t="s">
        <v>37</v>
      </c>
      <c r="BC58" s="29">
        <f t="shared" si="37"/>
        <v>0</v>
      </c>
      <c r="BD58" s="1247">
        <f>BC54+BC55+BC56+BC57+BC58+BC59+BE54+BE55+BE56+BE57</f>
        <v>0</v>
      </c>
      <c r="BE58" s="1248"/>
      <c r="BG58" s="12"/>
      <c r="BH58" s="56"/>
      <c r="BI58" s="12"/>
      <c r="BJ58" s="1251"/>
      <c r="BK58" s="1252"/>
      <c r="BL58" s="50"/>
      <c r="BM58" s="12"/>
      <c r="BN58" s="28" t="s">
        <v>37</v>
      </c>
      <c r="BO58" s="81">
        <f>Y58+Y59+AA54+AA55+AA56+AA57</f>
        <v>0</v>
      </c>
      <c r="BP58" s="1253"/>
      <c r="BQ58" s="1255"/>
      <c r="BR58" s="12"/>
      <c r="BS58" s="28" t="s">
        <v>37</v>
      </c>
      <c r="BT58" s="29">
        <f>IF($BJ$6=$BO$10,BO58,0)</f>
        <v>0</v>
      </c>
      <c r="BU58" s="1247">
        <f>BT54+BT55+BT56+BT57+BT58+BT59+BV54+BV55+BV56+BV57</f>
        <v>0</v>
      </c>
      <c r="BV58" s="1248"/>
      <c r="BW58" s="1257" t="str">
        <f>IF(BO54=0,"－",IF(BU58&lt;BJ54,"エラー",0))</f>
        <v>－</v>
      </c>
      <c r="BX58" s="1257">
        <f>IF(BW58="エラー",1,0)</f>
        <v>0</v>
      </c>
      <c r="BY58" s="12"/>
      <c r="BZ58" s="28" t="s">
        <v>37</v>
      </c>
      <c r="CA58" s="29">
        <f t="shared" si="38"/>
        <v>0</v>
      </c>
      <c r="CB58" s="1247"/>
      <c r="CC58" s="1248"/>
      <c r="CD58" s="12"/>
      <c r="CE58" s="28" t="s">
        <v>37</v>
      </c>
      <c r="CF58" s="29">
        <f t="shared" si="39"/>
        <v>0</v>
      </c>
      <c r="CG58" s="1247">
        <f>CF54+CF55+CF56+CF57+CF58+CF59+CH54+CH55+CH56+CH57</f>
        <v>0</v>
      </c>
      <c r="CH58" s="1248"/>
      <c r="CI58" s="13"/>
    </row>
    <row r="59" spans="1:87" ht="23.25" customHeight="1">
      <c r="A59" s="1288"/>
      <c r="B59" s="1289"/>
      <c r="C59" s="1289"/>
      <c r="D59" s="1290"/>
      <c r="E59" s="1294"/>
      <c r="F59" s="1295"/>
      <c r="G59" s="1296"/>
      <c r="H59" s="128" t="s">
        <v>38</v>
      </c>
      <c r="I59" s="66">
        <f>IF($AE$1&gt;0,0,'医療分・支援・子供・介護分（印刷））'!X71)</f>
        <v>0</v>
      </c>
      <c r="J59" s="1314"/>
      <c r="K59" s="1318"/>
      <c r="L59" s="65" t="s">
        <v>38</v>
      </c>
      <c r="M59" s="66">
        <f>IF($AE$1&gt;0,0,'医療分・支援・子供・介護分（印刷））'!X160)</f>
        <v>0</v>
      </c>
      <c r="N59" s="1314"/>
      <c r="O59" s="1316"/>
      <c r="P59" s="65" t="s">
        <v>38</v>
      </c>
      <c r="Q59" s="66">
        <f>IF($AE$1&gt;0,0,'医療分・支援・子供・介護分（印刷））'!X248)</f>
        <v>0</v>
      </c>
      <c r="R59" s="1314"/>
      <c r="S59" s="1316">
        <f>IF($AE$1&gt;0,0,'医療分・支援・子供・介護分（印刷））'!Z248)</f>
        <v>0</v>
      </c>
      <c r="T59" s="65" t="s">
        <v>38</v>
      </c>
      <c r="U59" s="66">
        <f>IF($AE$1&gt;0,0,'医療分・支援・子供・介護分（印刷））'!X337)</f>
        <v>0</v>
      </c>
      <c r="V59" s="1314"/>
      <c r="W59" s="1316"/>
      <c r="X59" s="264" t="s">
        <v>38</v>
      </c>
      <c r="Y59" s="129">
        <f>I59+M59+Q59+U59</f>
        <v>0</v>
      </c>
      <c r="Z59" s="1320"/>
      <c r="AA59" s="1281"/>
      <c r="AC59" s="272" t="str">
        <f>IF(AA58=0,"－",IF(F54=AA58,"ＯＫ","エラー"))</f>
        <v>－</v>
      </c>
      <c r="AE59" s="56"/>
      <c r="AF59" s="12"/>
      <c r="AG59" s="12"/>
      <c r="AH59" s="12"/>
      <c r="AI59" s="12"/>
      <c r="AJ59" s="12"/>
      <c r="AK59" s="65" t="s">
        <v>38</v>
      </c>
      <c r="AL59" s="132">
        <f>SUM(Y54:Y59)</f>
        <v>0</v>
      </c>
      <c r="AM59" s="1254"/>
      <c r="AN59" s="1256"/>
      <c r="AO59" s="12"/>
      <c r="AP59" s="65" t="s">
        <v>38</v>
      </c>
      <c r="AQ59" s="66">
        <f>IF($AG$6=$AL$11,AL59,0)</f>
        <v>0</v>
      </c>
      <c r="AR59" s="1249"/>
      <c r="AS59" s="1250"/>
      <c r="AT59" s="1258"/>
      <c r="AU59" s="1258"/>
      <c r="AV59" s="12"/>
      <c r="AW59" s="65" t="s">
        <v>38</v>
      </c>
      <c r="AX59" s="66">
        <f t="shared" si="36"/>
        <v>0</v>
      </c>
      <c r="AY59" s="1249"/>
      <c r="AZ59" s="1250"/>
      <c r="BA59" s="12"/>
      <c r="BB59" s="65" t="s">
        <v>38</v>
      </c>
      <c r="BC59" s="66">
        <f t="shared" si="37"/>
        <v>0</v>
      </c>
      <c r="BD59" s="1249"/>
      <c r="BE59" s="1250"/>
      <c r="BG59" s="12"/>
      <c r="BH59" s="56"/>
      <c r="BI59" s="12"/>
      <c r="BJ59" s="12"/>
      <c r="BK59" s="12"/>
      <c r="BL59" s="12"/>
      <c r="BM59" s="12"/>
      <c r="BN59" s="65" t="s">
        <v>38</v>
      </c>
      <c r="BO59" s="132">
        <f>Y59+AA54+AA55+AA56+AA57</f>
        <v>0</v>
      </c>
      <c r="BP59" s="1254"/>
      <c r="BQ59" s="1256"/>
      <c r="BR59" s="12"/>
      <c r="BS59" s="65" t="s">
        <v>38</v>
      </c>
      <c r="BT59" s="66">
        <f>IF($BJ$6=$BO$11,BO59,0)</f>
        <v>0</v>
      </c>
      <c r="BU59" s="1249"/>
      <c r="BV59" s="1250"/>
      <c r="BW59" s="1258"/>
      <c r="BX59" s="1258"/>
      <c r="BY59" s="12"/>
      <c r="BZ59" s="65" t="s">
        <v>38</v>
      </c>
      <c r="CA59" s="66">
        <f t="shared" si="38"/>
        <v>0</v>
      </c>
      <c r="CB59" s="1249"/>
      <c r="CC59" s="1250"/>
      <c r="CD59" s="12"/>
      <c r="CE59" s="65" t="s">
        <v>38</v>
      </c>
      <c r="CF59" s="66">
        <f t="shared" si="39"/>
        <v>0</v>
      </c>
      <c r="CG59" s="1249"/>
      <c r="CH59" s="1250"/>
      <c r="CI59" s="13"/>
    </row>
    <row r="60" spans="1:87" ht="9.9499999999999993" customHeight="1">
      <c r="E60" s="68"/>
      <c r="F60" s="68"/>
      <c r="G60" s="18"/>
      <c r="AE60" s="56"/>
      <c r="AF60" s="12"/>
      <c r="AG60" s="12"/>
      <c r="AH60" s="12"/>
      <c r="AI60" s="12"/>
      <c r="AJ60" s="12"/>
      <c r="AK60" s="4"/>
      <c r="AL60" s="4"/>
      <c r="AM60" s="4"/>
      <c r="AN60" s="4"/>
      <c r="AO60" s="12"/>
      <c r="AP60" s="4"/>
      <c r="AQ60" s="4"/>
      <c r="AR60" s="4"/>
      <c r="AS60" s="4"/>
      <c r="AT60" s="12"/>
      <c r="AU60" s="12"/>
      <c r="AV60" s="12"/>
      <c r="AW60" s="4"/>
      <c r="AX60" s="4"/>
      <c r="AY60" s="4"/>
      <c r="AZ60" s="4"/>
      <c r="BA60" s="12"/>
      <c r="BB60" s="4"/>
      <c r="BC60" s="4"/>
      <c r="BD60" s="4"/>
      <c r="BE60" s="4"/>
      <c r="BG60" s="12"/>
      <c r="BH60" s="56"/>
      <c r="BI60" s="12"/>
      <c r="BJ60" s="12"/>
      <c r="BK60" s="12"/>
      <c r="BL60" s="12"/>
      <c r="BM60" s="12"/>
      <c r="BN60" s="4"/>
      <c r="BO60" s="4"/>
      <c r="BP60" s="4"/>
      <c r="BQ60" s="4"/>
      <c r="BR60" s="12"/>
      <c r="BS60" s="4"/>
      <c r="BT60" s="4"/>
      <c r="BU60" s="4"/>
      <c r="BV60" s="4"/>
      <c r="BW60" s="12"/>
      <c r="BX60" s="12"/>
      <c r="BY60" s="12"/>
      <c r="BZ60" s="4"/>
      <c r="CA60" s="4"/>
      <c r="CB60" s="4"/>
      <c r="CC60" s="4"/>
      <c r="CD60" s="12"/>
      <c r="CE60" s="4"/>
      <c r="CF60" s="4"/>
      <c r="CG60" s="4"/>
      <c r="CH60" s="4"/>
      <c r="CI60" s="13"/>
    </row>
    <row r="61" spans="1:87" ht="23.25" customHeight="1">
      <c r="A61" s="1311" t="s">
        <v>157</v>
      </c>
      <c r="B61" s="1308" t="s">
        <v>77</v>
      </c>
      <c r="C61" s="1308"/>
      <c r="D61" s="1308"/>
      <c r="E61" s="1330" t="s">
        <v>82</v>
      </c>
      <c r="F61" s="1331"/>
      <c r="G61" s="1332"/>
      <c r="H61" s="1278" t="s">
        <v>69</v>
      </c>
      <c r="I61" s="1278"/>
      <c r="J61" s="1278"/>
      <c r="K61" s="1278"/>
      <c r="L61" s="1277" t="s">
        <v>159</v>
      </c>
      <c r="M61" s="1278"/>
      <c r="N61" s="1278"/>
      <c r="O61" s="1279"/>
      <c r="P61" s="1277" t="s">
        <v>409</v>
      </c>
      <c r="Q61" s="1278"/>
      <c r="R61" s="1278"/>
      <c r="S61" s="1279"/>
      <c r="T61" s="1277" t="s">
        <v>70</v>
      </c>
      <c r="U61" s="1278"/>
      <c r="V61" s="1278"/>
      <c r="W61" s="1279"/>
      <c r="X61" s="1277" t="s">
        <v>76</v>
      </c>
      <c r="Y61" s="1278"/>
      <c r="Z61" s="1278"/>
      <c r="AA61" s="1279"/>
      <c r="AE61" s="56"/>
      <c r="AF61" s="12"/>
      <c r="AG61" s="12"/>
      <c r="AH61" s="12"/>
      <c r="AI61" s="12"/>
      <c r="AJ61" s="12"/>
      <c r="AK61" s="1260" t="s">
        <v>94</v>
      </c>
      <c r="AL61" s="1261"/>
      <c r="AM61" s="1261"/>
      <c r="AN61" s="1262"/>
      <c r="AO61" s="12"/>
      <c r="AP61" s="1260" t="s">
        <v>95</v>
      </c>
      <c r="AQ61" s="1261"/>
      <c r="AR61" s="1261"/>
      <c r="AS61" s="1262"/>
      <c r="AT61" s="12"/>
      <c r="AU61" s="12"/>
      <c r="AV61" s="12"/>
      <c r="AW61" s="1260" t="s">
        <v>98</v>
      </c>
      <c r="AX61" s="1261"/>
      <c r="AY61" s="1261"/>
      <c r="AZ61" s="1262"/>
      <c r="BA61" s="12"/>
      <c r="BB61" s="1260" t="s">
        <v>98</v>
      </c>
      <c r="BC61" s="1261"/>
      <c r="BD61" s="1261"/>
      <c r="BE61" s="1262"/>
      <c r="BG61" s="12"/>
      <c r="BH61" s="56"/>
      <c r="BI61" s="12"/>
      <c r="BJ61" s="12"/>
      <c r="BK61" s="12"/>
      <c r="BL61" s="12"/>
      <c r="BM61" s="12"/>
      <c r="BN61" s="1260" t="s">
        <v>101</v>
      </c>
      <c r="BO61" s="1261"/>
      <c r="BP61" s="1261"/>
      <c r="BQ61" s="1262"/>
      <c r="BR61" s="12"/>
      <c r="BS61" s="1260" t="s">
        <v>95</v>
      </c>
      <c r="BT61" s="1261"/>
      <c r="BU61" s="1261"/>
      <c r="BV61" s="1262"/>
      <c r="BW61" s="12"/>
      <c r="BX61" s="12"/>
      <c r="BY61" s="12"/>
      <c r="BZ61" s="1260" t="s">
        <v>98</v>
      </c>
      <c r="CA61" s="1261"/>
      <c r="CB61" s="1261"/>
      <c r="CC61" s="1262"/>
      <c r="CD61" s="12"/>
      <c r="CE61" s="1260" t="s">
        <v>98</v>
      </c>
      <c r="CF61" s="1261"/>
      <c r="CG61" s="1261"/>
      <c r="CH61" s="1262"/>
      <c r="CI61" s="13"/>
    </row>
    <row r="62" spans="1:87" ht="23.25" customHeight="1">
      <c r="A62" s="1312"/>
      <c r="B62" s="1305">
        <f>入力画面!C42</f>
        <v>0</v>
      </c>
      <c r="C62" s="1300"/>
      <c r="D62" s="1309">
        <f>IF(F62&gt;0,"様",0)</f>
        <v>0</v>
      </c>
      <c r="E62" s="1321" t="s">
        <v>75</v>
      </c>
      <c r="F62" s="1323">
        <f>IF(AE1&gt;0,0,'医療分・支援・子供・介護分（印刷））'!U80+'医療分・支援・子供・介護分（印刷））'!U169+'医療分・支援・子供・介護分（印刷））'!U257+'医療分・支援・子供・介護分（印刷））'!U346)</f>
        <v>0</v>
      </c>
      <c r="G62" s="1325" t="s">
        <v>6</v>
      </c>
      <c r="H62" s="82" t="s">
        <v>34</v>
      </c>
      <c r="I62" s="29">
        <f>IF($AE$1&gt;0,0,'医療分・支援・子供・介護分（印刷））'!X76)</f>
        <v>0</v>
      </c>
      <c r="J62" s="30" t="s">
        <v>39</v>
      </c>
      <c r="K62" s="29">
        <f>IF($AE$1&gt;0,0,'医療分・支援・子供・介護分（印刷））'!Z76)</f>
        <v>0</v>
      </c>
      <c r="L62" s="28" t="s">
        <v>34</v>
      </c>
      <c r="M62" s="29">
        <f>IF($AE$1&gt;0,0,'医療分・支援・子供・介護分（印刷））'!X165)</f>
        <v>0</v>
      </c>
      <c r="N62" s="30" t="s">
        <v>39</v>
      </c>
      <c r="O62" s="31">
        <f>IF($AE$1&gt;0,0,'医療分・支援・子供・介護分（印刷））'!Z165)</f>
        <v>0</v>
      </c>
      <c r="P62" s="28" t="s">
        <v>34</v>
      </c>
      <c r="Q62" s="29">
        <f>IF($AE$1&gt;0,0,'医療分・支援・子供・介護分（印刷））'!X253)</f>
        <v>0</v>
      </c>
      <c r="R62" s="30" t="s">
        <v>39</v>
      </c>
      <c r="S62" s="29">
        <f>IF($AE$1&gt;0,0,'医療分・支援・子供・介護分（印刷））'!Z253)</f>
        <v>0</v>
      </c>
      <c r="T62" s="28" t="s">
        <v>34</v>
      </c>
      <c r="U62" s="29">
        <f>IF($AE$1&gt;0,0,'医療分・支援・子供・介護分（印刷））'!X342)</f>
        <v>0</v>
      </c>
      <c r="V62" s="30" t="s">
        <v>39</v>
      </c>
      <c r="W62" s="29">
        <f>IF($AE$1&gt;0,0,'医療分・支援・子供・介護分（印刷））'!Z342)</f>
        <v>0</v>
      </c>
      <c r="X62" s="258" t="s">
        <v>34</v>
      </c>
      <c r="Y62" s="259">
        <f>I62+M62+Q62+U62</f>
        <v>0</v>
      </c>
      <c r="Z62" s="260" t="s">
        <v>39</v>
      </c>
      <c r="AA62" s="261">
        <f>K62+O62+S62+W62</f>
        <v>0</v>
      </c>
      <c r="AE62" s="56"/>
      <c r="AF62" s="50"/>
      <c r="AG62" s="1263"/>
      <c r="AH62" s="1264"/>
      <c r="AI62" s="50"/>
      <c r="AJ62" s="12"/>
      <c r="AK62" s="28" t="s">
        <v>34</v>
      </c>
      <c r="AL62" s="29">
        <f>Y62</f>
        <v>0</v>
      </c>
      <c r="AM62" s="30" t="s">
        <v>39</v>
      </c>
      <c r="AN62" s="31">
        <f>Y62+Y63+Y64+Y65+Y66+Y67+AA62</f>
        <v>0</v>
      </c>
      <c r="AO62" s="12"/>
      <c r="AP62" s="28" t="s">
        <v>34</v>
      </c>
      <c r="AQ62" s="29">
        <f>IF($AG$6=$AL$6,AL62,0)</f>
        <v>0</v>
      </c>
      <c r="AR62" s="30" t="s">
        <v>39</v>
      </c>
      <c r="AS62" s="31">
        <f>IF($AG$6=$AN$6,AN62,0)</f>
        <v>0</v>
      </c>
      <c r="AT62" s="12"/>
      <c r="AU62" s="12"/>
      <c r="AV62" s="12"/>
      <c r="AW62" s="28" t="s">
        <v>34</v>
      </c>
      <c r="AX62" s="29">
        <f t="shared" ref="AX62:AX67" si="42">AX54</f>
        <v>0</v>
      </c>
      <c r="AY62" s="30" t="s">
        <v>39</v>
      </c>
      <c r="AZ62" s="31">
        <f>AZ54</f>
        <v>0</v>
      </c>
      <c r="BA62" s="12"/>
      <c r="BB62" s="28" t="s">
        <v>34</v>
      </c>
      <c r="BC62" s="29">
        <f t="shared" ref="BC62:BC67" si="43">IF(AX62=1,AL62,0)</f>
        <v>0</v>
      </c>
      <c r="BD62" s="30" t="s">
        <v>39</v>
      </c>
      <c r="BE62" s="31">
        <f>IF(AZ62=1,AN62,0)</f>
        <v>0</v>
      </c>
      <c r="BG62" s="12"/>
      <c r="BH62" s="56"/>
      <c r="BI62" s="50"/>
      <c r="BJ62" s="1263"/>
      <c r="BK62" s="1264"/>
      <c r="BL62" s="50"/>
      <c r="BM62" s="12"/>
      <c r="BN62" s="28" t="s">
        <v>34</v>
      </c>
      <c r="BO62" s="29">
        <f>Y62+Y63+Y64+Y65+Y66+Y67+AA62+AA63+AA64+AA65</f>
        <v>0</v>
      </c>
      <c r="BP62" s="30" t="s">
        <v>39</v>
      </c>
      <c r="BQ62" s="31">
        <f>SUM(AA62:AA65)</f>
        <v>0</v>
      </c>
      <c r="BR62" s="12"/>
      <c r="BS62" s="28" t="s">
        <v>34</v>
      </c>
      <c r="BT62" s="29">
        <f>IF($BJ$6=$BO$6,BO62,0)</f>
        <v>0</v>
      </c>
      <c r="BU62" s="30" t="s">
        <v>39</v>
      </c>
      <c r="BV62" s="31">
        <f>IF($BJ$6=$BQ$6,BQ62,0)</f>
        <v>0</v>
      </c>
      <c r="BW62" s="12"/>
      <c r="BX62" s="12"/>
      <c r="BY62" s="12"/>
      <c r="BZ62" s="28" t="s">
        <v>34</v>
      </c>
      <c r="CA62" s="29">
        <f t="shared" ref="CA62:CA67" si="44">CA54</f>
        <v>0</v>
      </c>
      <c r="CB62" s="30" t="s">
        <v>39</v>
      </c>
      <c r="CC62" s="31">
        <f>CC54</f>
        <v>0</v>
      </c>
      <c r="CD62" s="12"/>
      <c r="CE62" s="28" t="s">
        <v>34</v>
      </c>
      <c r="CF62" s="29">
        <f t="shared" ref="CF62:CF67" si="45">IF(CA62=1,BO62,0)</f>
        <v>0</v>
      </c>
      <c r="CG62" s="30" t="s">
        <v>39</v>
      </c>
      <c r="CH62" s="31">
        <f>IF(CC62=1,BQ62,0)</f>
        <v>0</v>
      </c>
      <c r="CI62" s="13"/>
    </row>
    <row r="63" spans="1:87" ht="23.25" customHeight="1">
      <c r="A63" s="1312"/>
      <c r="B63" s="1306"/>
      <c r="C63" s="1307"/>
      <c r="D63" s="1310"/>
      <c r="E63" s="1322"/>
      <c r="F63" s="1324"/>
      <c r="G63" s="1326"/>
      <c r="H63" s="82" t="s">
        <v>35</v>
      </c>
      <c r="I63" s="29">
        <f>IF($AE$1&gt;0,0,'医療分・支援・子供・介護分（印刷））'!X77)</f>
        <v>0</v>
      </c>
      <c r="J63" s="30" t="s">
        <v>40</v>
      </c>
      <c r="K63" s="29">
        <f>IF($AE$1&gt;0,0,'医療分・支援・子供・介護分（印刷））'!Z77)</f>
        <v>0</v>
      </c>
      <c r="L63" s="28" t="s">
        <v>35</v>
      </c>
      <c r="M63" s="29">
        <f>IF($AE$1&gt;0,0,'医療分・支援・子供・介護分（印刷））'!X166)</f>
        <v>0</v>
      </c>
      <c r="N63" s="30" t="s">
        <v>40</v>
      </c>
      <c r="O63" s="31">
        <f>IF($AE$1&gt;0,0,'医療分・支援・子供・介護分（印刷））'!Z166)</f>
        <v>0</v>
      </c>
      <c r="P63" s="28" t="s">
        <v>35</v>
      </c>
      <c r="Q63" s="29">
        <f>IF($AE$1&gt;0,0,'医療分・支援・子供・介護分（印刷））'!X254)</f>
        <v>0</v>
      </c>
      <c r="R63" s="30" t="s">
        <v>40</v>
      </c>
      <c r="S63" s="29">
        <f>IF($AE$1&gt;0,0,'医療分・支援・子供・介護分（印刷））'!Z254)</f>
        <v>0</v>
      </c>
      <c r="T63" s="28" t="s">
        <v>35</v>
      </c>
      <c r="U63" s="29">
        <f>IF($AE$1&gt;0,0,'医療分・支援・子供・介護分（印刷））'!X343)</f>
        <v>0</v>
      </c>
      <c r="V63" s="30" t="s">
        <v>40</v>
      </c>
      <c r="W63" s="29">
        <f>IF($AE$1&gt;0,0,'医療分・支援・子供・介護分（印刷））'!Z343)</f>
        <v>0</v>
      </c>
      <c r="X63" s="262" t="s">
        <v>35</v>
      </c>
      <c r="Y63" s="125">
        <f t="shared" ref="Y63:Y67" si="46">I63+M63+Q63+U63</f>
        <v>0</v>
      </c>
      <c r="Z63" s="126" t="s">
        <v>40</v>
      </c>
      <c r="AA63" s="127">
        <f t="shared" ref="AA63:AA64" si="47">K63+O63+S63+W63</f>
        <v>0</v>
      </c>
      <c r="AE63" s="56"/>
      <c r="AF63" s="12"/>
      <c r="AG63" s="1251"/>
      <c r="AH63" s="1252"/>
      <c r="AI63" s="50"/>
      <c r="AJ63" s="12"/>
      <c r="AK63" s="28" t="s">
        <v>35</v>
      </c>
      <c r="AL63" s="29">
        <f>SUM(Y62:Y63)</f>
        <v>0</v>
      </c>
      <c r="AM63" s="30" t="s">
        <v>40</v>
      </c>
      <c r="AN63" s="31">
        <f>Y62+Y63+Y64+Y65+Y66+Y67+AA62+AA63</f>
        <v>0</v>
      </c>
      <c r="AO63" s="12"/>
      <c r="AP63" s="28" t="s">
        <v>35</v>
      </c>
      <c r="AQ63" s="29">
        <f>IF($AG$6=$AL$7,AL63,0)</f>
        <v>0</v>
      </c>
      <c r="AR63" s="30" t="s">
        <v>40</v>
      </c>
      <c r="AS63" s="31">
        <f>IF($AG$6=$AN$7,AN63,0)</f>
        <v>0</v>
      </c>
      <c r="AT63" s="12"/>
      <c r="AU63" s="12"/>
      <c r="AV63" s="12"/>
      <c r="AW63" s="28" t="s">
        <v>35</v>
      </c>
      <c r="AX63" s="29">
        <f t="shared" si="42"/>
        <v>0</v>
      </c>
      <c r="AY63" s="30" t="s">
        <v>40</v>
      </c>
      <c r="AZ63" s="31">
        <f>AZ55</f>
        <v>0</v>
      </c>
      <c r="BA63" s="12"/>
      <c r="BB63" s="28" t="s">
        <v>35</v>
      </c>
      <c r="BC63" s="29">
        <f t="shared" si="43"/>
        <v>0</v>
      </c>
      <c r="BD63" s="30" t="s">
        <v>40</v>
      </c>
      <c r="BE63" s="31">
        <f>IF(AZ63=1,AN63,0)</f>
        <v>0</v>
      </c>
      <c r="BG63" s="12"/>
      <c r="BH63" s="56"/>
      <c r="BI63" s="12"/>
      <c r="BJ63" s="1251"/>
      <c r="BK63" s="1252"/>
      <c r="BL63" s="50"/>
      <c r="BM63" s="12"/>
      <c r="BN63" s="28" t="s">
        <v>35</v>
      </c>
      <c r="BO63" s="29">
        <f>Y63+Y64+Y65+Y66+Y67+AA62+AA63+AA64+AA65</f>
        <v>0</v>
      </c>
      <c r="BP63" s="30" t="s">
        <v>40</v>
      </c>
      <c r="BQ63" s="31">
        <f>SUM(AA63:AA65)</f>
        <v>0</v>
      </c>
      <c r="BR63" s="12"/>
      <c r="BS63" s="28" t="s">
        <v>35</v>
      </c>
      <c r="BT63" s="29">
        <f>IF($BJ$6=$BO$7,BO63,0)</f>
        <v>0</v>
      </c>
      <c r="BU63" s="30" t="s">
        <v>40</v>
      </c>
      <c r="BV63" s="31">
        <f>IF($BJ$6=$BQ$7,BQ63,0)</f>
        <v>0</v>
      </c>
      <c r="BW63" s="12"/>
      <c r="BX63" s="12"/>
      <c r="BY63" s="12"/>
      <c r="BZ63" s="28" t="s">
        <v>35</v>
      </c>
      <c r="CA63" s="29">
        <f t="shared" si="44"/>
        <v>0</v>
      </c>
      <c r="CB63" s="30" t="s">
        <v>40</v>
      </c>
      <c r="CC63" s="31">
        <f>CC55</f>
        <v>0</v>
      </c>
      <c r="CD63" s="12"/>
      <c r="CE63" s="28" t="s">
        <v>35</v>
      </c>
      <c r="CF63" s="29">
        <f t="shared" si="45"/>
        <v>0</v>
      </c>
      <c r="CG63" s="30" t="s">
        <v>40</v>
      </c>
      <c r="CH63" s="31">
        <f>IF(CC63=1,BQ63,0)</f>
        <v>0</v>
      </c>
      <c r="CI63" s="13"/>
    </row>
    <row r="64" spans="1:87" ht="23.25" customHeight="1">
      <c r="A64" s="1299">
        <f>入力画面!$L$9</f>
        <v>0</v>
      </c>
      <c r="B64" s="1300"/>
      <c r="C64" s="1300"/>
      <c r="D64" s="1301"/>
      <c r="E64" s="1297" t="s">
        <v>97</v>
      </c>
      <c r="F64" s="1327">
        <f>BD66+CG66</f>
        <v>0</v>
      </c>
      <c r="G64" s="1329" t="s">
        <v>6</v>
      </c>
      <c r="H64" s="82" t="s">
        <v>36</v>
      </c>
      <c r="I64" s="29">
        <f>IF($AE$1&gt;0,0,'医療分・支援・子供・介護分（印刷））'!X78)</f>
        <v>0</v>
      </c>
      <c r="J64" s="30" t="s">
        <v>41</v>
      </c>
      <c r="K64" s="29">
        <f>IF($AE$1&gt;0,0,'医療分・支援・子供・介護分（印刷））'!Z78)</f>
        <v>0</v>
      </c>
      <c r="L64" s="28" t="s">
        <v>36</v>
      </c>
      <c r="M64" s="29">
        <f>IF($AE$1&gt;0,0,'医療分・支援・子供・介護分（印刷））'!X167)</f>
        <v>0</v>
      </c>
      <c r="N64" s="30" t="s">
        <v>41</v>
      </c>
      <c r="O64" s="31">
        <f>IF($AE$1&gt;0,0,'医療分・支援・子供・介護分（印刷））'!Z167)</f>
        <v>0</v>
      </c>
      <c r="P64" s="28" t="s">
        <v>36</v>
      </c>
      <c r="Q64" s="29">
        <f>IF($AE$1&gt;0,0,'医療分・支援・子供・介護分（印刷））'!X255)</f>
        <v>0</v>
      </c>
      <c r="R64" s="30" t="s">
        <v>41</v>
      </c>
      <c r="S64" s="29">
        <f>IF($AE$1&gt;0,0,'医療分・支援・子供・介護分（印刷））'!Z255)</f>
        <v>0</v>
      </c>
      <c r="T64" s="28" t="s">
        <v>36</v>
      </c>
      <c r="U64" s="29">
        <f>IF($AE$1&gt;0,0,'医療分・支援・子供・介護分（印刷））'!X344)</f>
        <v>0</v>
      </c>
      <c r="V64" s="30" t="s">
        <v>41</v>
      </c>
      <c r="W64" s="29">
        <f>IF($AE$1&gt;0,0,'医療分・支援・子供・介護分（印刷））'!Z344)</f>
        <v>0</v>
      </c>
      <c r="X64" s="262" t="s">
        <v>36</v>
      </c>
      <c r="Y64" s="125">
        <f t="shared" si="46"/>
        <v>0</v>
      </c>
      <c r="Z64" s="126" t="s">
        <v>41</v>
      </c>
      <c r="AA64" s="127">
        <f t="shared" si="47"/>
        <v>0</v>
      </c>
      <c r="AE64" s="56"/>
      <c r="AF64" s="12"/>
      <c r="AG64" s="1251"/>
      <c r="AH64" s="1252"/>
      <c r="AI64" s="50"/>
      <c r="AJ64" s="12"/>
      <c r="AK64" s="28" t="s">
        <v>36</v>
      </c>
      <c r="AL64" s="29">
        <f>SUM(Y62:Y64)</f>
        <v>0</v>
      </c>
      <c r="AM64" s="30" t="s">
        <v>41</v>
      </c>
      <c r="AN64" s="31">
        <f>Y62+Y63+Y64+Y65+Y66+Y67+AA62+AA63+AA64</f>
        <v>0</v>
      </c>
      <c r="AO64" s="12"/>
      <c r="AP64" s="28" t="s">
        <v>36</v>
      </c>
      <c r="AQ64" s="29">
        <f>IF($AG$6=$AL$8,AL64,0)</f>
        <v>0</v>
      </c>
      <c r="AR64" s="30" t="s">
        <v>41</v>
      </c>
      <c r="AS64" s="31">
        <f>IF($AG$6=$AN$8,AN64,0)</f>
        <v>0</v>
      </c>
      <c r="AT64" s="12"/>
      <c r="AU64" s="12"/>
      <c r="AV64" s="12"/>
      <c r="AW64" s="28" t="s">
        <v>36</v>
      </c>
      <c r="AX64" s="29">
        <f t="shared" si="42"/>
        <v>0</v>
      </c>
      <c r="AY64" s="30" t="s">
        <v>41</v>
      </c>
      <c r="AZ64" s="31">
        <f>AZ56</f>
        <v>0</v>
      </c>
      <c r="BA64" s="12"/>
      <c r="BB64" s="28" t="s">
        <v>36</v>
      </c>
      <c r="BC64" s="29">
        <f t="shared" si="43"/>
        <v>0</v>
      </c>
      <c r="BD64" s="30" t="s">
        <v>41</v>
      </c>
      <c r="BE64" s="31">
        <f>IF(AZ64=1,AN64,0)</f>
        <v>0</v>
      </c>
      <c r="BG64" s="12"/>
      <c r="BH64" s="56"/>
      <c r="BI64" s="12"/>
      <c r="BJ64" s="1251"/>
      <c r="BK64" s="1252"/>
      <c r="BL64" s="50"/>
      <c r="BM64" s="12"/>
      <c r="BN64" s="28" t="s">
        <v>36</v>
      </c>
      <c r="BO64" s="29">
        <f>Y64+Y65+Y66+Y67+AA62+AA63+AA64+AA65</f>
        <v>0</v>
      </c>
      <c r="BP64" s="30" t="s">
        <v>41</v>
      </c>
      <c r="BQ64" s="31">
        <f>SUM(AA64:AA65)</f>
        <v>0</v>
      </c>
      <c r="BR64" s="12"/>
      <c r="BS64" s="28" t="s">
        <v>36</v>
      </c>
      <c r="BT64" s="29">
        <f>IF($BJ$6=$BO$8,BO64,0)</f>
        <v>0</v>
      </c>
      <c r="BU64" s="30" t="s">
        <v>41</v>
      </c>
      <c r="BV64" s="31">
        <f>IF($BJ$6=$BQ$8,BQ64,0)</f>
        <v>0</v>
      </c>
      <c r="BW64" s="12"/>
      <c r="BX64" s="12"/>
      <c r="BY64" s="12"/>
      <c r="BZ64" s="28" t="s">
        <v>36</v>
      </c>
      <c r="CA64" s="29">
        <f t="shared" si="44"/>
        <v>0</v>
      </c>
      <c r="CB64" s="30" t="s">
        <v>41</v>
      </c>
      <c r="CC64" s="31">
        <f>CC56</f>
        <v>0</v>
      </c>
      <c r="CD64" s="12"/>
      <c r="CE64" s="28" t="s">
        <v>36</v>
      </c>
      <c r="CF64" s="29">
        <f t="shared" si="45"/>
        <v>0</v>
      </c>
      <c r="CG64" s="30" t="s">
        <v>41</v>
      </c>
      <c r="CH64" s="31">
        <f>IF(CC64=1,BQ64,0)</f>
        <v>0</v>
      </c>
      <c r="CI64" s="13"/>
    </row>
    <row r="65" spans="1:87" ht="23.25" customHeight="1">
      <c r="A65" s="1302"/>
      <c r="B65" s="1303"/>
      <c r="C65" s="1303"/>
      <c r="D65" s="1304"/>
      <c r="E65" s="1298"/>
      <c r="F65" s="1328"/>
      <c r="G65" s="1329"/>
      <c r="H65" s="82" t="s">
        <v>43</v>
      </c>
      <c r="I65" s="29">
        <f>IF($AE$1&gt;0,0,'医療分・支援・子供・介護分（印刷））'!X79)</f>
        <v>0</v>
      </c>
      <c r="J65" s="30" t="s">
        <v>42</v>
      </c>
      <c r="K65" s="29">
        <f>IF($AE$1&gt;0,0,'医療分・支援・子供・介護分（印刷））'!Z79)</f>
        <v>0</v>
      </c>
      <c r="L65" s="28" t="s">
        <v>43</v>
      </c>
      <c r="M65" s="29">
        <f>IF($AE$1&gt;0,0,'医療分・支援・子供・介護分（印刷））'!X168)</f>
        <v>0</v>
      </c>
      <c r="N65" s="30" t="s">
        <v>42</v>
      </c>
      <c r="O65" s="31">
        <f>IF($AE$1&gt;0,0,'医療分・支援・子供・介護分（印刷））'!Z168)</f>
        <v>0</v>
      </c>
      <c r="P65" s="28" t="s">
        <v>43</v>
      </c>
      <c r="Q65" s="29">
        <f>IF($AE$1&gt;0,0,'医療分・支援・子供・介護分（印刷））'!X256)</f>
        <v>0</v>
      </c>
      <c r="R65" s="30" t="s">
        <v>42</v>
      </c>
      <c r="S65" s="29">
        <f>IF($AE$1&gt;0,0,'医療分・支援・子供・介護分（印刷））'!Z256)</f>
        <v>0</v>
      </c>
      <c r="T65" s="28" t="s">
        <v>43</v>
      </c>
      <c r="U65" s="29">
        <f>IF($AE$1&gt;0,0,'医療分・支援・子供・介護分（印刷））'!X345)</f>
        <v>0</v>
      </c>
      <c r="V65" s="30" t="s">
        <v>42</v>
      </c>
      <c r="W65" s="29">
        <f>IF($AE$1&gt;0,0,'医療分・支援・子供・介護分（印刷））'!Z345)</f>
        <v>0</v>
      </c>
      <c r="X65" s="262" t="s">
        <v>43</v>
      </c>
      <c r="Y65" s="125">
        <f t="shared" si="46"/>
        <v>0</v>
      </c>
      <c r="Z65" s="263" t="s">
        <v>42</v>
      </c>
      <c r="AA65" s="127">
        <f>K65+O65+S65+W65</f>
        <v>0</v>
      </c>
      <c r="AE65" s="56"/>
      <c r="AF65" s="12"/>
      <c r="AG65" s="1259"/>
      <c r="AH65" s="1259"/>
      <c r="AI65" s="1259"/>
      <c r="AJ65" s="12"/>
      <c r="AK65" s="28" t="s">
        <v>43</v>
      </c>
      <c r="AL65" s="29">
        <f>SUM(Y62:Y65)</f>
        <v>0</v>
      </c>
      <c r="AM65" s="133" t="s">
        <v>93</v>
      </c>
      <c r="AN65" s="144">
        <f>Y62+Y63+Y64+Y65+Y66+Y67+AA62+AA63+AA64+AA65</f>
        <v>0</v>
      </c>
      <c r="AO65" s="12"/>
      <c r="AP65" s="28" t="s">
        <v>43</v>
      </c>
      <c r="AQ65" s="29">
        <f>IF($AG$6=$AL$9,AL65,0)</f>
        <v>0</v>
      </c>
      <c r="AR65" s="133" t="s">
        <v>93</v>
      </c>
      <c r="AS65" s="31">
        <f>IF($AG$6=$AN$9,AN65,0)</f>
        <v>0</v>
      </c>
      <c r="AT65" s="12"/>
      <c r="AU65" s="12"/>
      <c r="AV65" s="12"/>
      <c r="AW65" s="28" t="s">
        <v>43</v>
      </c>
      <c r="AX65" s="29">
        <f t="shared" si="42"/>
        <v>0</v>
      </c>
      <c r="AY65" s="133" t="s">
        <v>93</v>
      </c>
      <c r="AZ65" s="31">
        <f>AZ57</f>
        <v>0</v>
      </c>
      <c r="BA65" s="12"/>
      <c r="BB65" s="28" t="s">
        <v>43</v>
      </c>
      <c r="BC65" s="29">
        <f t="shared" si="43"/>
        <v>0</v>
      </c>
      <c r="BD65" s="133" t="s">
        <v>93</v>
      </c>
      <c r="BE65" s="31">
        <f>IF(AZ65=1,AN65,0)</f>
        <v>0</v>
      </c>
      <c r="BG65" s="12"/>
      <c r="BH65" s="56"/>
      <c r="BI65" s="12"/>
      <c r="BJ65" s="1259"/>
      <c r="BK65" s="1259"/>
      <c r="BL65" s="1259"/>
      <c r="BM65" s="12"/>
      <c r="BN65" s="28" t="s">
        <v>43</v>
      </c>
      <c r="BO65" s="29">
        <f>Y65+Y66+Y67+AA62+AA63+AA64+AA65</f>
        <v>0</v>
      </c>
      <c r="BP65" s="30" t="s">
        <v>42</v>
      </c>
      <c r="BQ65" s="144">
        <f>AA65</f>
        <v>0</v>
      </c>
      <c r="BR65" s="12"/>
      <c r="BS65" s="28" t="s">
        <v>43</v>
      </c>
      <c r="BT65" s="29">
        <f>IF($BJ$6=$BO$9,BO65,0)</f>
        <v>0</v>
      </c>
      <c r="BU65" s="133" t="s">
        <v>93</v>
      </c>
      <c r="BV65" s="31">
        <f>IF($BJ$6=$BQ$9,BQ65,0)</f>
        <v>0</v>
      </c>
      <c r="BW65" s="12"/>
      <c r="BX65" s="12"/>
      <c r="BY65" s="12"/>
      <c r="BZ65" s="28" t="s">
        <v>43</v>
      </c>
      <c r="CA65" s="29">
        <f t="shared" si="44"/>
        <v>0</v>
      </c>
      <c r="CB65" s="133" t="s">
        <v>93</v>
      </c>
      <c r="CC65" s="31">
        <f>CC57</f>
        <v>0</v>
      </c>
      <c r="CD65" s="12"/>
      <c r="CE65" s="28" t="s">
        <v>43</v>
      </c>
      <c r="CF65" s="29">
        <f t="shared" si="45"/>
        <v>0</v>
      </c>
      <c r="CG65" s="133" t="s">
        <v>93</v>
      </c>
      <c r="CH65" s="31">
        <f>IF(CC65=1,BQ65,0)</f>
        <v>0</v>
      </c>
      <c r="CI65" s="13"/>
    </row>
    <row r="66" spans="1:87" ht="23.25" customHeight="1">
      <c r="A66" s="1285">
        <f>IF((U63+U64+U65+U66+U67+W62+W63+W64+W65)&lt;0,"介護該当者は①から順に入力してください｡",0)</f>
        <v>0</v>
      </c>
      <c r="B66" s="1286"/>
      <c r="C66" s="1286"/>
      <c r="D66" s="1287"/>
      <c r="E66" s="1291">
        <f>IF(AU66=1,"＊入金額エラー＊",0)</f>
        <v>0</v>
      </c>
      <c r="F66" s="1292"/>
      <c r="G66" s="1293"/>
      <c r="H66" s="82" t="s">
        <v>37</v>
      </c>
      <c r="I66" s="29">
        <f>IF($AE$1&gt;0,0,'医療分・支援・子供・介護分（印刷））'!X80)</f>
        <v>0</v>
      </c>
      <c r="J66" s="1313" t="s">
        <v>44</v>
      </c>
      <c r="K66" s="1317">
        <f>IF(AE1&gt;0,0,'医療分・支援・子供・介護分（印刷））'!Z80)</f>
        <v>0</v>
      </c>
      <c r="L66" s="28" t="s">
        <v>37</v>
      </c>
      <c r="M66" s="29">
        <f>IF($AE$1&gt;0,0,'医療分・支援・子供・介護分（印刷））'!X169)</f>
        <v>0</v>
      </c>
      <c r="N66" s="1313" t="s">
        <v>44</v>
      </c>
      <c r="O66" s="1315">
        <f>IF($AE$1&gt;0,0,'医療分・支援・子供・介護分（印刷））'!Z169)</f>
        <v>0</v>
      </c>
      <c r="P66" s="28" t="s">
        <v>37</v>
      </c>
      <c r="Q66" s="29">
        <f>IF($AE$1&gt;0,0,'医療分・支援・子供・介護分（印刷））'!X257)</f>
        <v>0</v>
      </c>
      <c r="R66" s="1313" t="s">
        <v>44</v>
      </c>
      <c r="S66" s="1315">
        <f>IF($AE$1&gt;0,0,'医療分・支援・子供・介護分（印刷））'!Z257)</f>
        <v>0</v>
      </c>
      <c r="T66" s="28" t="s">
        <v>37</v>
      </c>
      <c r="U66" s="29">
        <f>IF($AE$1&gt;0,0,'医療分・支援・子供・介護分（印刷））'!X346)</f>
        <v>0</v>
      </c>
      <c r="V66" s="1313" t="s">
        <v>44</v>
      </c>
      <c r="W66" s="1315">
        <f>IF(AI1&gt;0,0,'医療分・支援・子供・介護分（印刷））'!Z346)</f>
        <v>0</v>
      </c>
      <c r="X66" s="262" t="s">
        <v>37</v>
      </c>
      <c r="Y66" s="125">
        <f>I66+M66+Q66+U66</f>
        <v>0</v>
      </c>
      <c r="Z66" s="1319" t="s">
        <v>44</v>
      </c>
      <c r="AA66" s="1280">
        <f>K66+O66+S66+W66</f>
        <v>0</v>
      </c>
      <c r="AE66" s="56"/>
      <c r="AF66" s="12"/>
      <c r="AG66" s="1251"/>
      <c r="AH66" s="1252"/>
      <c r="AI66" s="50"/>
      <c r="AJ66" s="12"/>
      <c r="AK66" s="28" t="s">
        <v>37</v>
      </c>
      <c r="AL66" s="81">
        <f>SUM(Y62:Y66)</f>
        <v>0</v>
      </c>
      <c r="AM66" s="1253"/>
      <c r="AN66" s="1255"/>
      <c r="AO66" s="12"/>
      <c r="AP66" s="28" t="s">
        <v>37</v>
      </c>
      <c r="AQ66" s="29">
        <f>IF($AG$6=$AL$10,AL66,0)</f>
        <v>0</v>
      </c>
      <c r="AR66" s="1247">
        <f>AQ62+AQ63+AQ64+AQ65+AQ66+AQ67+AS62+AS63+AS64+AS65</f>
        <v>0</v>
      </c>
      <c r="AS66" s="1248"/>
      <c r="AT66" s="1257" t="str">
        <f>IF(AL62=0,"－",IF(AR66&lt;AG62,"エラー",0))</f>
        <v>－</v>
      </c>
      <c r="AU66" s="1257">
        <f>IF(AT66="エラー",1,0)</f>
        <v>0</v>
      </c>
      <c r="AV66" s="12"/>
      <c r="AW66" s="28" t="s">
        <v>37</v>
      </c>
      <c r="AX66" s="29">
        <f t="shared" si="42"/>
        <v>0</v>
      </c>
      <c r="AY66" s="1247"/>
      <c r="AZ66" s="1248"/>
      <c r="BA66" s="12"/>
      <c r="BB66" s="28" t="s">
        <v>37</v>
      </c>
      <c r="BC66" s="29">
        <f t="shared" si="43"/>
        <v>0</v>
      </c>
      <c r="BD66" s="1247">
        <f>BC62+BC63+BC64+BC65+BC66+BC67+BE62+BE63+BE64+BE65</f>
        <v>0</v>
      </c>
      <c r="BE66" s="1248"/>
      <c r="BG66" s="12"/>
      <c r="BH66" s="56"/>
      <c r="BI66" s="12"/>
      <c r="BJ66" s="1251"/>
      <c r="BK66" s="1252"/>
      <c r="BL66" s="50"/>
      <c r="BM66" s="12"/>
      <c r="BN66" s="28" t="s">
        <v>37</v>
      </c>
      <c r="BO66" s="81">
        <f>Y66+Y67+AA62+AA63+AA64+AA65</f>
        <v>0</v>
      </c>
      <c r="BP66" s="1253"/>
      <c r="BQ66" s="1255"/>
      <c r="BR66" s="12"/>
      <c r="BS66" s="28" t="s">
        <v>37</v>
      </c>
      <c r="BT66" s="29">
        <f>IF($BJ$6=$BO$10,BO66,0)</f>
        <v>0</v>
      </c>
      <c r="BU66" s="1247">
        <f>BT62+BT63+BT64+BT65+BT66+BT67+BV62+BV63+BV64+BV65</f>
        <v>0</v>
      </c>
      <c r="BV66" s="1248"/>
      <c r="BW66" s="1257" t="str">
        <f>IF(BO62=0,"－",IF(BU66&lt;BJ62,"エラー",0))</f>
        <v>－</v>
      </c>
      <c r="BX66" s="1257">
        <f>IF(BW66="エラー",1,0)</f>
        <v>0</v>
      </c>
      <c r="BY66" s="12"/>
      <c r="BZ66" s="28" t="s">
        <v>37</v>
      </c>
      <c r="CA66" s="29">
        <f t="shared" si="44"/>
        <v>0</v>
      </c>
      <c r="CB66" s="1247"/>
      <c r="CC66" s="1248"/>
      <c r="CD66" s="12"/>
      <c r="CE66" s="28" t="s">
        <v>37</v>
      </c>
      <c r="CF66" s="29">
        <f t="shared" si="45"/>
        <v>0</v>
      </c>
      <c r="CG66" s="1247">
        <f>CF62+CF63+CF64+CF65+CF66+CF67+CH62+CH63+CH64+CH65</f>
        <v>0</v>
      </c>
      <c r="CH66" s="1248"/>
      <c r="CI66" s="13"/>
    </row>
    <row r="67" spans="1:87" ht="23.25" customHeight="1">
      <c r="A67" s="1288"/>
      <c r="B67" s="1289"/>
      <c r="C67" s="1289"/>
      <c r="D67" s="1290"/>
      <c r="E67" s="1294"/>
      <c r="F67" s="1295"/>
      <c r="G67" s="1296"/>
      <c r="H67" s="128" t="s">
        <v>38</v>
      </c>
      <c r="I67" s="66">
        <f>IF($AE$1&gt;0,0,'医療分・支援・子供・介護分（印刷））'!X81)</f>
        <v>0</v>
      </c>
      <c r="J67" s="1314"/>
      <c r="K67" s="1318"/>
      <c r="L67" s="65" t="s">
        <v>38</v>
      </c>
      <c r="M67" s="66">
        <f>IF($AE$1&gt;0,0,'医療分・支援・子供・介護分（印刷））'!X170)</f>
        <v>0</v>
      </c>
      <c r="N67" s="1314"/>
      <c r="O67" s="1316"/>
      <c r="P67" s="65" t="s">
        <v>38</v>
      </c>
      <c r="Q67" s="66">
        <f>IF($AE$1&gt;0,0,'医療分・支援・子供・介護分（印刷））'!X258)</f>
        <v>0</v>
      </c>
      <c r="R67" s="1314"/>
      <c r="S67" s="1316">
        <f>IF($AE$1&gt;0,0,'医療分・支援・子供・介護分（印刷））'!Z258)</f>
        <v>0</v>
      </c>
      <c r="T67" s="65" t="s">
        <v>38</v>
      </c>
      <c r="U67" s="66">
        <f>IF($AE$1&gt;0,0,'医療分・支援・子供・介護分（印刷））'!X347)</f>
        <v>0</v>
      </c>
      <c r="V67" s="1314"/>
      <c r="W67" s="1316"/>
      <c r="X67" s="264" t="s">
        <v>38</v>
      </c>
      <c r="Y67" s="129">
        <f t="shared" si="46"/>
        <v>0</v>
      </c>
      <c r="Z67" s="1320"/>
      <c r="AA67" s="1281"/>
      <c r="AC67" s="272" t="str">
        <f>IF(AA66=0,"－",IF(F62=AA66,"ＯＫ","エラー"))</f>
        <v>－</v>
      </c>
      <c r="AE67" s="56"/>
      <c r="AF67" s="12"/>
      <c r="AG67" s="12"/>
      <c r="AH67" s="12"/>
      <c r="AI67" s="12"/>
      <c r="AJ67" s="12"/>
      <c r="AK67" s="65" t="s">
        <v>38</v>
      </c>
      <c r="AL67" s="132">
        <f>SUM(Y62:Y67)</f>
        <v>0</v>
      </c>
      <c r="AM67" s="1254"/>
      <c r="AN67" s="1256"/>
      <c r="AO67" s="12"/>
      <c r="AP67" s="65" t="s">
        <v>38</v>
      </c>
      <c r="AQ67" s="66">
        <f>IF($AG$6=$AL$11,AL67,0)</f>
        <v>0</v>
      </c>
      <c r="AR67" s="1249"/>
      <c r="AS67" s="1250"/>
      <c r="AT67" s="1258"/>
      <c r="AU67" s="1258"/>
      <c r="AV67" s="12"/>
      <c r="AW67" s="65" t="s">
        <v>38</v>
      </c>
      <c r="AX67" s="66">
        <f t="shared" si="42"/>
        <v>0</v>
      </c>
      <c r="AY67" s="1249"/>
      <c r="AZ67" s="1250"/>
      <c r="BA67" s="12"/>
      <c r="BB67" s="65" t="s">
        <v>38</v>
      </c>
      <c r="BC67" s="66">
        <f t="shared" si="43"/>
        <v>0</v>
      </c>
      <c r="BD67" s="1249"/>
      <c r="BE67" s="1250"/>
      <c r="BG67" s="12"/>
      <c r="BH67" s="56"/>
      <c r="BI67" s="12"/>
      <c r="BJ67" s="12"/>
      <c r="BK67" s="12"/>
      <c r="BL67" s="12"/>
      <c r="BM67" s="12"/>
      <c r="BN67" s="65" t="s">
        <v>38</v>
      </c>
      <c r="BO67" s="132">
        <f>Y67+AA62+AA63+AA64+AA65</f>
        <v>0</v>
      </c>
      <c r="BP67" s="1254"/>
      <c r="BQ67" s="1256"/>
      <c r="BR67" s="12"/>
      <c r="BS67" s="65" t="s">
        <v>38</v>
      </c>
      <c r="BT67" s="66">
        <f>IF($BJ$6=$BO$11,BO67,0)</f>
        <v>0</v>
      </c>
      <c r="BU67" s="1249"/>
      <c r="BV67" s="1250"/>
      <c r="BW67" s="1258"/>
      <c r="BX67" s="1258"/>
      <c r="BY67" s="12"/>
      <c r="BZ67" s="65" t="s">
        <v>38</v>
      </c>
      <c r="CA67" s="66">
        <f t="shared" si="44"/>
        <v>0</v>
      </c>
      <c r="CB67" s="1249"/>
      <c r="CC67" s="1250"/>
      <c r="CD67" s="12"/>
      <c r="CE67" s="65" t="s">
        <v>38</v>
      </c>
      <c r="CF67" s="66">
        <f t="shared" si="45"/>
        <v>0</v>
      </c>
      <c r="CG67" s="1249"/>
      <c r="CH67" s="1250"/>
      <c r="CI67" s="13"/>
    </row>
    <row r="68" spans="1:87" ht="17.25" customHeight="1" thickBot="1">
      <c r="E68" s="68"/>
      <c r="F68" s="68"/>
      <c r="AE68" s="120"/>
      <c r="AF68" s="122"/>
      <c r="AG68" s="122"/>
      <c r="AH68" s="122"/>
      <c r="AI68" s="122"/>
      <c r="AJ68" s="122"/>
      <c r="AK68" s="121"/>
      <c r="AL68" s="121"/>
      <c r="AM68" s="121"/>
      <c r="AN68" s="121"/>
      <c r="AO68" s="122"/>
      <c r="AP68" s="121"/>
      <c r="AQ68" s="121"/>
      <c r="AR68" s="121"/>
      <c r="AS68" s="121"/>
      <c r="AT68" s="122"/>
      <c r="AU68" s="122"/>
      <c r="AV68" s="122"/>
      <c r="AW68" s="121"/>
      <c r="AX68" s="121"/>
      <c r="AY68" s="121"/>
      <c r="AZ68" s="121"/>
      <c r="BA68" s="122"/>
      <c r="BB68" s="121"/>
      <c r="BC68" s="121"/>
      <c r="BD68" s="121"/>
      <c r="BE68" s="121"/>
      <c r="BF68" s="122"/>
      <c r="BG68" s="122"/>
      <c r="BH68" s="120"/>
      <c r="BI68" s="122"/>
      <c r="BJ68" s="122"/>
      <c r="BK68" s="122"/>
      <c r="BL68" s="122"/>
      <c r="BM68" s="122"/>
      <c r="BN68" s="121"/>
      <c r="BO68" s="121"/>
      <c r="BP68" s="121"/>
      <c r="BQ68" s="121"/>
      <c r="BR68" s="122"/>
      <c r="BS68" s="121"/>
      <c r="BT68" s="121"/>
      <c r="BU68" s="121"/>
      <c r="BV68" s="121"/>
      <c r="BW68" s="122"/>
      <c r="BX68" s="122"/>
      <c r="BY68" s="122"/>
      <c r="BZ68" s="121"/>
      <c r="CA68" s="121"/>
      <c r="CB68" s="121"/>
      <c r="CC68" s="121"/>
      <c r="CD68" s="122"/>
      <c r="CE68" s="121"/>
      <c r="CF68" s="121"/>
      <c r="CG68" s="121"/>
      <c r="CH68" s="121"/>
      <c r="CI68" s="123"/>
    </row>
    <row r="69" spans="1:87" ht="17.25" customHeight="1">
      <c r="E69" s="68"/>
      <c r="F69" s="68"/>
    </row>
    <row r="70" spans="1:87" ht="26.25" customHeight="1">
      <c r="E70" s="49"/>
      <c r="F70" s="49"/>
    </row>
  </sheetData>
  <mergeCells count="496">
    <mergeCell ref="V66:V67"/>
    <mergeCell ref="W66:W67"/>
    <mergeCell ref="T5:W5"/>
    <mergeCell ref="V10:V11"/>
    <mergeCell ref="W10:W11"/>
    <mergeCell ref="T13:W13"/>
    <mergeCell ref="V18:V19"/>
    <mergeCell ref="W18:W19"/>
    <mergeCell ref="T21:W21"/>
    <mergeCell ref="V26:V27"/>
    <mergeCell ref="W26:W27"/>
    <mergeCell ref="T61:W61"/>
    <mergeCell ref="AY66:AZ67"/>
    <mergeCell ref="AW53:AZ53"/>
    <mergeCell ref="AY58:AZ59"/>
    <mergeCell ref="AW45:AZ45"/>
    <mergeCell ref="AY50:AZ51"/>
    <mergeCell ref="AT18:AT19"/>
    <mergeCell ref="AT26:AT27"/>
    <mergeCell ref="AU50:AU51"/>
    <mergeCell ref="AT58:AT59"/>
    <mergeCell ref="AW61:AZ61"/>
    <mergeCell ref="AW29:AZ29"/>
    <mergeCell ref="AY34:AZ35"/>
    <mergeCell ref="AY26:AZ27"/>
    <mergeCell ref="AY42:AZ43"/>
    <mergeCell ref="AU66:AU67"/>
    <mergeCell ref="AT66:AT67"/>
    <mergeCell ref="AU58:AU59"/>
    <mergeCell ref="AT50:AT51"/>
    <mergeCell ref="AU42:AU43"/>
    <mergeCell ref="AT42:AT43"/>
    <mergeCell ref="AU10:AU11"/>
    <mergeCell ref="AR26:AS27"/>
    <mergeCell ref="AR34:AS35"/>
    <mergeCell ref="AT10:AT11"/>
    <mergeCell ref="AU18:AU19"/>
    <mergeCell ref="AU26:AU27"/>
    <mergeCell ref="AP13:AS13"/>
    <mergeCell ref="AR10:AS11"/>
    <mergeCell ref="AT34:AT35"/>
    <mergeCell ref="AU34:AU35"/>
    <mergeCell ref="AP21:AS21"/>
    <mergeCell ref="AR18:AS19"/>
    <mergeCell ref="AP29:AS29"/>
    <mergeCell ref="AF1:AN1"/>
    <mergeCell ref="AG26:AH26"/>
    <mergeCell ref="AG14:AH14"/>
    <mergeCell ref="AG17:AI17"/>
    <mergeCell ref="AG18:AH18"/>
    <mergeCell ref="AM26:AM27"/>
    <mergeCell ref="AN26:AN27"/>
    <mergeCell ref="AG16:AH16"/>
    <mergeCell ref="AG23:AH23"/>
    <mergeCell ref="AG24:AH24"/>
    <mergeCell ref="AK21:AN21"/>
    <mergeCell ref="AK5:AN5"/>
    <mergeCell ref="AM10:AM11"/>
    <mergeCell ref="AN10:AN11"/>
    <mergeCell ref="AK13:AN13"/>
    <mergeCell ref="AN18:AN19"/>
    <mergeCell ref="AG25:AI25"/>
    <mergeCell ref="AG10:AH10"/>
    <mergeCell ref="AG22:AH22"/>
    <mergeCell ref="AG15:AH15"/>
    <mergeCell ref="AM18:AM19"/>
    <mergeCell ref="AR66:AS67"/>
    <mergeCell ref="AG64:AH64"/>
    <mergeCell ref="AG58:AH58"/>
    <mergeCell ref="AG66:AH66"/>
    <mergeCell ref="AG33:AI33"/>
    <mergeCell ref="AM34:AM35"/>
    <mergeCell ref="AN34:AN35"/>
    <mergeCell ref="AK37:AN37"/>
    <mergeCell ref="AP45:AS45"/>
    <mergeCell ref="AG65:AI65"/>
    <mergeCell ref="AG55:AH55"/>
    <mergeCell ref="AG56:AH56"/>
    <mergeCell ref="AG57:AI57"/>
    <mergeCell ref="AG62:AH62"/>
    <mergeCell ref="AG63:AH63"/>
    <mergeCell ref="AM50:AM51"/>
    <mergeCell ref="AP61:AS61"/>
    <mergeCell ref="AG54:AH54"/>
    <mergeCell ref="AP53:AS53"/>
    <mergeCell ref="AR50:AS51"/>
    <mergeCell ref="K58:K59"/>
    <mergeCell ref="O58:O59"/>
    <mergeCell ref="X45:AA45"/>
    <mergeCell ref="R58:R59"/>
    <mergeCell ref="Z58:Z59"/>
    <mergeCell ref="N58:N59"/>
    <mergeCell ref="S58:S59"/>
    <mergeCell ref="AR58:AS59"/>
    <mergeCell ref="AA50:AA51"/>
    <mergeCell ref="X53:AA53"/>
    <mergeCell ref="Z50:Z51"/>
    <mergeCell ref="AK45:AN45"/>
    <mergeCell ref="V58:V59"/>
    <mergeCell ref="W58:W59"/>
    <mergeCell ref="R50:R51"/>
    <mergeCell ref="L53:O53"/>
    <mergeCell ref="N50:N51"/>
    <mergeCell ref="O50:O51"/>
    <mergeCell ref="P53:S53"/>
    <mergeCell ref="H53:K53"/>
    <mergeCell ref="AN58:AN59"/>
    <mergeCell ref="AK29:AN29"/>
    <mergeCell ref="S50:S51"/>
    <mergeCell ref="AG50:AH50"/>
    <mergeCell ref="AG46:AH46"/>
    <mergeCell ref="AK53:AN53"/>
    <mergeCell ref="L29:O29"/>
    <mergeCell ref="J50:J51"/>
    <mergeCell ref="AG38:AH38"/>
    <mergeCell ref="AG39:AH39"/>
    <mergeCell ref="AG40:AH40"/>
    <mergeCell ref="AM42:AM43"/>
    <mergeCell ref="AG41:AI41"/>
    <mergeCell ref="X37:AA37"/>
    <mergeCell ref="Z34:Z35"/>
    <mergeCell ref="T29:W29"/>
    <mergeCell ref="V34:V35"/>
    <mergeCell ref="W34:W35"/>
    <mergeCell ref="T37:W37"/>
    <mergeCell ref="V42:V43"/>
    <mergeCell ref="W42:W43"/>
    <mergeCell ref="S34:S35"/>
    <mergeCell ref="AA34:AA35"/>
    <mergeCell ref="AG30:AH30"/>
    <mergeCell ref="AG32:AH32"/>
    <mergeCell ref="AA42:AA43"/>
    <mergeCell ref="G40:G41"/>
    <mergeCell ref="E42:G43"/>
    <mergeCell ref="N26:N27"/>
    <mergeCell ref="E24:E25"/>
    <mergeCell ref="AG31:AH31"/>
    <mergeCell ref="L37:O37"/>
    <mergeCell ref="H37:K37"/>
    <mergeCell ref="P37:S37"/>
    <mergeCell ref="O42:O43"/>
    <mergeCell ref="R34:R35"/>
    <mergeCell ref="J26:J27"/>
    <mergeCell ref="K34:K35"/>
    <mergeCell ref="N34:N35"/>
    <mergeCell ref="O34:O35"/>
    <mergeCell ref="J34:J35"/>
    <mergeCell ref="AG42:AH42"/>
    <mergeCell ref="X29:AA29"/>
    <mergeCell ref="AA26:AA27"/>
    <mergeCell ref="Z26:Z27"/>
    <mergeCell ref="Z42:Z43"/>
    <mergeCell ref="R26:R27"/>
    <mergeCell ref="S26:S27"/>
    <mergeCell ref="G32:G33"/>
    <mergeCell ref="H29:K29"/>
    <mergeCell ref="P29:S29"/>
    <mergeCell ref="O26:O27"/>
    <mergeCell ref="K26:K27"/>
    <mergeCell ref="L21:O21"/>
    <mergeCell ref="G38:G39"/>
    <mergeCell ref="F56:F57"/>
    <mergeCell ref="E48:E49"/>
    <mergeCell ref="F48:F49"/>
    <mergeCell ref="E53:G53"/>
    <mergeCell ref="G54:G55"/>
    <mergeCell ref="F54:F55"/>
    <mergeCell ref="E54:E55"/>
    <mergeCell ref="G56:G57"/>
    <mergeCell ref="H21:K21"/>
    <mergeCell ref="A45:A47"/>
    <mergeCell ref="D46:D47"/>
    <mergeCell ref="B46:C47"/>
    <mergeCell ref="G48:G49"/>
    <mergeCell ref="F46:F47"/>
    <mergeCell ref="G46:G47"/>
    <mergeCell ref="E45:G45"/>
    <mergeCell ref="E50:G51"/>
    <mergeCell ref="E46:E47"/>
    <mergeCell ref="X5:AA5"/>
    <mergeCell ref="E12:AA12"/>
    <mergeCell ref="J10:J11"/>
    <mergeCell ref="K18:K19"/>
    <mergeCell ref="R18:R19"/>
    <mergeCell ref="AA10:AA11"/>
    <mergeCell ref="H13:K13"/>
    <mergeCell ref="P13:S13"/>
    <mergeCell ref="G10:G11"/>
    <mergeCell ref="G14:G15"/>
    <mergeCell ref="J18:J19"/>
    <mergeCell ref="E16:E17"/>
    <mergeCell ref="F10:F11"/>
    <mergeCell ref="K10:K11"/>
    <mergeCell ref="E18:G19"/>
    <mergeCell ref="N18:N19"/>
    <mergeCell ref="O18:O19"/>
    <mergeCell ref="AA18:AA19"/>
    <mergeCell ref="Z18:Z19"/>
    <mergeCell ref="S18:S19"/>
    <mergeCell ref="L13:O13"/>
    <mergeCell ref="B14:C15"/>
    <mergeCell ref="E13:G13"/>
    <mergeCell ref="G16:G17"/>
    <mergeCell ref="A26:D27"/>
    <mergeCell ref="G24:G25"/>
    <mergeCell ref="F24:F25"/>
    <mergeCell ref="A24:D25"/>
    <mergeCell ref="B21:D21"/>
    <mergeCell ref="B22:C23"/>
    <mergeCell ref="E26:G27"/>
    <mergeCell ref="D22:D23"/>
    <mergeCell ref="A16:D17"/>
    <mergeCell ref="A13:A15"/>
    <mergeCell ref="A18:D19"/>
    <mergeCell ref="A21:A23"/>
    <mergeCell ref="E22:E23"/>
    <mergeCell ref="G22:G23"/>
    <mergeCell ref="F22:F23"/>
    <mergeCell ref="E21:G21"/>
    <mergeCell ref="D14:D15"/>
    <mergeCell ref="F16:F17"/>
    <mergeCell ref="B13:D13"/>
    <mergeCell ref="E14:E15"/>
    <mergeCell ref="F14:F15"/>
    <mergeCell ref="B4:C4"/>
    <mergeCell ref="A3:C3"/>
    <mergeCell ref="E5:G5"/>
    <mergeCell ref="P5:S5"/>
    <mergeCell ref="H5:K5"/>
    <mergeCell ref="L5:O5"/>
    <mergeCell ref="C9:C11"/>
    <mergeCell ref="B9:B11"/>
    <mergeCell ref="A9:A11"/>
    <mergeCell ref="A5:C5"/>
    <mergeCell ref="C6:C8"/>
    <mergeCell ref="B6:B8"/>
    <mergeCell ref="A6:A8"/>
    <mergeCell ref="S10:S11"/>
    <mergeCell ref="R10:R11"/>
    <mergeCell ref="N10:N11"/>
    <mergeCell ref="O10:O11"/>
    <mergeCell ref="A40:D41"/>
    <mergeCell ref="D38:D39"/>
    <mergeCell ref="B30:C31"/>
    <mergeCell ref="F32:F33"/>
    <mergeCell ref="A34:D35"/>
    <mergeCell ref="A32:D33"/>
    <mergeCell ref="E30:E31"/>
    <mergeCell ref="A29:A31"/>
    <mergeCell ref="B29:D29"/>
    <mergeCell ref="D30:D31"/>
    <mergeCell ref="F30:F31"/>
    <mergeCell ref="A37:A39"/>
    <mergeCell ref="E37:G37"/>
    <mergeCell ref="E40:E41"/>
    <mergeCell ref="F38:F39"/>
    <mergeCell ref="F40:F41"/>
    <mergeCell ref="E34:G35"/>
    <mergeCell ref="E29:G29"/>
    <mergeCell ref="G30:G31"/>
    <mergeCell ref="E32:E33"/>
    <mergeCell ref="E38:E39"/>
    <mergeCell ref="A66:D67"/>
    <mergeCell ref="E66:G67"/>
    <mergeCell ref="E64:E65"/>
    <mergeCell ref="E62:E63"/>
    <mergeCell ref="B62:C63"/>
    <mergeCell ref="D62:D63"/>
    <mergeCell ref="F62:F63"/>
    <mergeCell ref="G62:G63"/>
    <mergeCell ref="A64:D65"/>
    <mergeCell ref="A61:A63"/>
    <mergeCell ref="B61:D61"/>
    <mergeCell ref="F64:F65"/>
    <mergeCell ref="G64:G65"/>
    <mergeCell ref="E61:G61"/>
    <mergeCell ref="AA66:AA67"/>
    <mergeCell ref="R66:R67"/>
    <mergeCell ref="J58:J59"/>
    <mergeCell ref="J42:J43"/>
    <mergeCell ref="H45:K45"/>
    <mergeCell ref="L45:O45"/>
    <mergeCell ref="P45:S45"/>
    <mergeCell ref="S42:S43"/>
    <mergeCell ref="R42:R43"/>
    <mergeCell ref="K42:K43"/>
    <mergeCell ref="N42:N43"/>
    <mergeCell ref="K50:K51"/>
    <mergeCell ref="Z66:Z67"/>
    <mergeCell ref="O66:O67"/>
    <mergeCell ref="K66:K67"/>
    <mergeCell ref="L61:O61"/>
    <mergeCell ref="J66:J67"/>
    <mergeCell ref="N66:N67"/>
    <mergeCell ref="H61:K61"/>
    <mergeCell ref="S66:S67"/>
    <mergeCell ref="T45:W45"/>
    <mergeCell ref="V50:V51"/>
    <mergeCell ref="W50:W51"/>
    <mergeCell ref="T53:W53"/>
    <mergeCell ref="AE2:AE8"/>
    <mergeCell ref="P61:S61"/>
    <mergeCell ref="X61:AA61"/>
    <mergeCell ref="AA58:AA59"/>
    <mergeCell ref="Z10:Z11"/>
    <mergeCell ref="P21:S21"/>
    <mergeCell ref="X21:AA21"/>
    <mergeCell ref="B2:S2"/>
    <mergeCell ref="E10:E11"/>
    <mergeCell ref="X13:AA13"/>
    <mergeCell ref="A58:D59"/>
    <mergeCell ref="E58:G59"/>
    <mergeCell ref="E56:E57"/>
    <mergeCell ref="A48:D49"/>
    <mergeCell ref="B54:C55"/>
    <mergeCell ref="A42:D43"/>
    <mergeCell ref="A50:D51"/>
    <mergeCell ref="A56:D57"/>
    <mergeCell ref="B53:D53"/>
    <mergeCell ref="D54:D55"/>
    <mergeCell ref="A53:A55"/>
    <mergeCell ref="B45:D45"/>
    <mergeCell ref="B37:D37"/>
    <mergeCell ref="B38:C39"/>
    <mergeCell ref="BD66:BE67"/>
    <mergeCell ref="BB21:BE21"/>
    <mergeCell ref="BD26:BE27"/>
    <mergeCell ref="BB29:BE29"/>
    <mergeCell ref="BB53:BE53"/>
    <mergeCell ref="AG6:AH6"/>
    <mergeCell ref="AG7:AH7"/>
    <mergeCell ref="AG8:AH8"/>
    <mergeCell ref="AG9:AI9"/>
    <mergeCell ref="AY10:AZ11"/>
    <mergeCell ref="BB61:BE61"/>
    <mergeCell ref="BD10:BE11"/>
    <mergeCell ref="BB13:BE13"/>
    <mergeCell ref="BD18:BE19"/>
    <mergeCell ref="BD58:BE59"/>
    <mergeCell ref="AW13:AZ13"/>
    <mergeCell ref="AY18:AZ19"/>
    <mergeCell ref="AW21:AZ21"/>
    <mergeCell ref="AW37:AZ37"/>
    <mergeCell ref="AN50:AN51"/>
    <mergeCell ref="AM66:AM67"/>
    <mergeCell ref="AM58:AM59"/>
    <mergeCell ref="AK61:AN61"/>
    <mergeCell ref="AN66:AN67"/>
    <mergeCell ref="BJ33:BL33"/>
    <mergeCell ref="BJ40:BK40"/>
    <mergeCell ref="BJ41:BL41"/>
    <mergeCell ref="BJ38:BK38"/>
    <mergeCell ref="BJ39:BK39"/>
    <mergeCell ref="BJ34:BK34"/>
    <mergeCell ref="BJ50:BK50"/>
    <mergeCell ref="BD42:BE43"/>
    <mergeCell ref="AG49:AI49"/>
    <mergeCell ref="AN42:AN43"/>
    <mergeCell ref="AG47:AH47"/>
    <mergeCell ref="AG48:AH48"/>
    <mergeCell ref="BD34:BE35"/>
    <mergeCell ref="BB37:BE37"/>
    <mergeCell ref="BB45:BE45"/>
    <mergeCell ref="BD50:BE51"/>
    <mergeCell ref="AP37:AS37"/>
    <mergeCell ref="AR42:AS43"/>
    <mergeCell ref="AG34:AH34"/>
    <mergeCell ref="AO1:AT1"/>
    <mergeCell ref="BI1:BQ1"/>
    <mergeCell ref="BR1:BW1"/>
    <mergeCell ref="BN5:BQ5"/>
    <mergeCell ref="BS5:BV5"/>
    <mergeCell ref="BB5:BE5"/>
    <mergeCell ref="AP5:AS5"/>
    <mergeCell ref="AW5:AZ5"/>
    <mergeCell ref="BJ8:BK8"/>
    <mergeCell ref="AT8:AT9"/>
    <mergeCell ref="BZ5:CC5"/>
    <mergeCell ref="CE5:CH5"/>
    <mergeCell ref="BJ6:BK6"/>
    <mergeCell ref="BJ7:BK7"/>
    <mergeCell ref="BJ10:BK10"/>
    <mergeCell ref="BP10:BP11"/>
    <mergeCell ref="BQ10:BQ11"/>
    <mergeCell ref="BU10:BV11"/>
    <mergeCell ref="CB10:CC11"/>
    <mergeCell ref="CG10:CH11"/>
    <mergeCell ref="BW8:BW9"/>
    <mergeCell ref="BJ9:BL9"/>
    <mergeCell ref="BN13:BQ13"/>
    <mergeCell ref="BS13:BV13"/>
    <mergeCell ref="BZ13:CC13"/>
    <mergeCell ref="CE13:CH13"/>
    <mergeCell ref="BW10:BW11"/>
    <mergeCell ref="BX10:BX11"/>
    <mergeCell ref="BJ18:BK18"/>
    <mergeCell ref="BP18:BP19"/>
    <mergeCell ref="BQ18:BQ19"/>
    <mergeCell ref="BU18:BV19"/>
    <mergeCell ref="BJ14:BK14"/>
    <mergeCell ref="BJ15:BK15"/>
    <mergeCell ref="BJ16:BK16"/>
    <mergeCell ref="BJ17:BL17"/>
    <mergeCell ref="BW18:BW19"/>
    <mergeCell ref="BX18:BX19"/>
    <mergeCell ref="BZ21:CC21"/>
    <mergeCell ref="CE21:CH21"/>
    <mergeCell ref="CB18:CC19"/>
    <mergeCell ref="CG18:CH19"/>
    <mergeCell ref="BJ26:BK26"/>
    <mergeCell ref="BP26:BP27"/>
    <mergeCell ref="BN21:BQ21"/>
    <mergeCell ref="BS21:BV21"/>
    <mergeCell ref="BJ24:BK24"/>
    <mergeCell ref="BJ25:BL25"/>
    <mergeCell ref="BJ22:BK22"/>
    <mergeCell ref="BJ23:BK23"/>
    <mergeCell ref="BQ26:BQ27"/>
    <mergeCell ref="BU26:BV27"/>
    <mergeCell ref="CB26:CC27"/>
    <mergeCell ref="CG26:CH27"/>
    <mergeCell ref="BN29:BQ29"/>
    <mergeCell ref="BS29:BV29"/>
    <mergeCell ref="BZ29:CC29"/>
    <mergeCell ref="CE29:CH29"/>
    <mergeCell ref="BW26:BW27"/>
    <mergeCell ref="BX26:BX27"/>
    <mergeCell ref="BJ30:BK30"/>
    <mergeCell ref="BJ31:BK31"/>
    <mergeCell ref="BJ32:BK32"/>
    <mergeCell ref="BZ37:CC37"/>
    <mergeCell ref="CE37:CH37"/>
    <mergeCell ref="CB34:CC35"/>
    <mergeCell ref="CG34:CH35"/>
    <mergeCell ref="BW34:BW35"/>
    <mergeCell ref="BX34:BX35"/>
    <mergeCell ref="BQ34:BQ35"/>
    <mergeCell ref="BU34:BV35"/>
    <mergeCell ref="BN37:BQ37"/>
    <mergeCell ref="BS37:BV37"/>
    <mergeCell ref="BP34:BP35"/>
    <mergeCell ref="BW50:BW51"/>
    <mergeCell ref="BX50:BX51"/>
    <mergeCell ref="CB50:CC51"/>
    <mergeCell ref="CG50:CH51"/>
    <mergeCell ref="BP50:BP51"/>
    <mergeCell ref="BW42:BW43"/>
    <mergeCell ref="BX42:BX43"/>
    <mergeCell ref="BJ42:BK42"/>
    <mergeCell ref="BJ46:BK46"/>
    <mergeCell ref="BJ47:BK47"/>
    <mergeCell ref="BJ48:BK48"/>
    <mergeCell ref="BJ49:BL49"/>
    <mergeCell ref="BQ50:BQ51"/>
    <mergeCell ref="BU50:BV51"/>
    <mergeCell ref="CB42:CC43"/>
    <mergeCell ref="CG42:CH43"/>
    <mergeCell ref="BN45:BQ45"/>
    <mergeCell ref="BS45:BV45"/>
    <mergeCell ref="BZ45:CC45"/>
    <mergeCell ref="CE45:CH45"/>
    <mergeCell ref="BP42:BP43"/>
    <mergeCell ref="BQ42:BQ43"/>
    <mergeCell ref="BU42:BV43"/>
    <mergeCell ref="BN53:BQ53"/>
    <mergeCell ref="BS53:BV53"/>
    <mergeCell ref="BZ53:CC53"/>
    <mergeCell ref="CE53:CH53"/>
    <mergeCell ref="BJ64:BK64"/>
    <mergeCell ref="BN61:BQ61"/>
    <mergeCell ref="BS61:BV61"/>
    <mergeCell ref="BP58:BP59"/>
    <mergeCell ref="BQ58:BQ59"/>
    <mergeCell ref="BJ54:BK54"/>
    <mergeCell ref="BJ55:BK55"/>
    <mergeCell ref="BJ62:BK62"/>
    <mergeCell ref="BJ63:BK63"/>
    <mergeCell ref="BJ56:BK56"/>
    <mergeCell ref="BJ57:BL57"/>
    <mergeCell ref="BJ58:BK58"/>
    <mergeCell ref="BU58:BV59"/>
    <mergeCell ref="BZ61:CC61"/>
    <mergeCell ref="CE61:CH61"/>
    <mergeCell ref="BW58:BW59"/>
    <mergeCell ref="BX58:BX59"/>
    <mergeCell ref="CB58:CC59"/>
    <mergeCell ref="CG58:CH59"/>
    <mergeCell ref="CB66:CC67"/>
    <mergeCell ref="CG66:CH67"/>
    <mergeCell ref="BJ66:BK66"/>
    <mergeCell ref="BP66:BP67"/>
    <mergeCell ref="BQ66:BQ67"/>
    <mergeCell ref="BU66:BV67"/>
    <mergeCell ref="BW66:BW67"/>
    <mergeCell ref="BX66:BX67"/>
    <mergeCell ref="BJ65:BL65"/>
  </mergeCells>
  <phoneticPr fontId="2"/>
  <pageMargins left="0.5" right="0.19685039370078741" top="0.81" bottom="0.55000000000000004" header="0.61" footer="0.51181102362204722"/>
  <pageSetup paperSize="9" scale="43" orientation="portrait" r:id="rId1"/>
  <headerFooter alignWithMargins="0">
    <oddHeader>&amp;R&amp;D　&amp;T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R387"/>
  <sheetViews>
    <sheetView showGridLines="0" showZeros="0" view="pageBreakPreview" zoomScaleNormal="50" zoomScaleSheetLayoutView="100" workbookViewId="0">
      <selection activeCell="K192" sqref="K192:S192"/>
    </sheetView>
  </sheetViews>
  <sheetFormatPr defaultColWidth="8.875" defaultRowHeight="17.25"/>
  <cols>
    <col min="1" max="1" width="8.125" style="3" customWidth="1"/>
    <col min="2" max="2" width="4.125" style="3" customWidth="1"/>
    <col min="3" max="3" width="13" style="3" customWidth="1"/>
    <col min="4" max="4" width="4.375" style="3" customWidth="1"/>
    <col min="5" max="5" width="9.875" style="3" customWidth="1"/>
    <col min="6" max="6" width="3.75" style="3" customWidth="1"/>
    <col min="7" max="7" width="3.5" style="3" customWidth="1"/>
    <col min="8" max="8" width="8.875" style="9" customWidth="1"/>
    <col min="9" max="9" width="5.625" style="3" bestFit="1" customWidth="1"/>
    <col min="10" max="10" width="4.25" style="3" customWidth="1"/>
    <col min="11" max="11" width="5.5" style="3" customWidth="1"/>
    <col min="12" max="12" width="5" style="3" customWidth="1"/>
    <col min="13" max="13" width="4.875" style="3" customWidth="1"/>
    <col min="14" max="14" width="6.125" style="10" customWidth="1"/>
    <col min="15" max="15" width="4.75" style="10" customWidth="1"/>
    <col min="16" max="16" width="8.375" style="3" customWidth="1"/>
    <col min="17" max="17" width="3.25" style="3" customWidth="1"/>
    <col min="18" max="18" width="11.875" style="3" bestFit="1" customWidth="1"/>
    <col min="19" max="19" width="5" style="3" customWidth="1"/>
    <col min="20" max="20" width="12.375" style="3" customWidth="1"/>
    <col min="21" max="21" width="11.375" style="3" customWidth="1"/>
    <col min="22" max="22" width="4.875" style="3" customWidth="1"/>
    <col min="23" max="23" width="5.25" style="2" customWidth="1"/>
    <col min="24" max="24" width="11.125" style="2" customWidth="1"/>
    <col min="25" max="25" width="5.25" style="2" customWidth="1"/>
    <col min="26" max="26" width="10.375" style="2" customWidth="1"/>
    <col min="27" max="27" width="1.875" style="2" customWidth="1"/>
    <col min="28" max="30" width="4.875" style="2" customWidth="1"/>
    <col min="31" max="31" width="13.25" style="69" customWidth="1"/>
    <col min="32" max="32" width="13.25" style="2" customWidth="1"/>
    <col min="33" max="33" width="21.125" style="2" bestFit="1" customWidth="1"/>
    <col min="34" max="34" width="10.375" style="2" customWidth="1"/>
    <col min="35" max="35" width="12.75" style="171" customWidth="1"/>
    <col min="36" max="43" width="10.375" style="171" customWidth="1"/>
    <col min="44" max="44" width="11.625" style="171" customWidth="1"/>
    <col min="45" max="45" width="2.625" style="171" customWidth="1"/>
    <col min="46" max="46" width="5.5" style="171" bestFit="1" customWidth="1"/>
    <col min="47" max="47" width="10.375" style="171" customWidth="1"/>
    <col min="48" max="48" width="8.625" style="171" bestFit="1" customWidth="1"/>
    <col min="49" max="49" width="10.375" style="171" customWidth="1"/>
    <col min="50" max="50" width="4" style="3" customWidth="1"/>
    <col min="51" max="51" width="6.875" style="4" customWidth="1"/>
    <col min="52" max="52" width="11.125" style="4" customWidth="1"/>
    <col min="53" max="53" width="5.25" style="191" customWidth="1"/>
    <col min="54" max="54" width="10.375" style="191" customWidth="1"/>
    <col min="55" max="55" width="4" style="3" customWidth="1"/>
    <col min="56" max="56" width="5.25" style="4" customWidth="1"/>
    <col min="57" max="57" width="11.125" style="4" customWidth="1"/>
    <col min="58" max="58" width="5.25" style="4" customWidth="1"/>
    <col min="59" max="59" width="10.375" style="4" customWidth="1"/>
    <col min="60" max="60" width="4" style="3" customWidth="1"/>
    <col min="61" max="61" width="5.25" style="4" customWidth="1"/>
    <col min="62" max="62" width="11.125" style="4" customWidth="1"/>
    <col min="63" max="63" width="5.25" style="4" customWidth="1"/>
    <col min="64" max="64" width="10.375" style="4" customWidth="1"/>
    <col min="65" max="65" width="4" style="3" customWidth="1"/>
    <col min="66" max="66" width="5.25" style="4" customWidth="1"/>
    <col min="67" max="67" width="11.125" style="4" customWidth="1"/>
    <col min="68" max="68" width="5.25" style="4" customWidth="1"/>
    <col min="69" max="69" width="10.375" style="4" customWidth="1"/>
    <col min="70" max="71" width="4" style="3" customWidth="1"/>
    <col min="72" max="72" width="4" style="3" hidden="1" customWidth="1"/>
    <col min="73" max="74" width="9.875" style="3" customWidth="1"/>
    <col min="75" max="75" width="4" style="3" customWidth="1"/>
    <col min="76" max="76" width="10.875" style="2" customWidth="1"/>
    <col min="77" max="77" width="10.375" style="2" customWidth="1"/>
    <col min="78" max="80" width="10.5" style="2" customWidth="1"/>
    <col min="81" max="81" width="8.875" style="2" customWidth="1"/>
    <col min="82" max="82" width="11.125" style="2" customWidth="1"/>
    <col min="83" max="83" width="10.25" style="2" customWidth="1"/>
    <col min="84" max="86" width="12" style="2" customWidth="1"/>
    <col min="87" max="88" width="8.875" style="3" customWidth="1"/>
    <col min="89" max="89" width="19.375" style="3" customWidth="1"/>
    <col min="90" max="90" width="8.875" style="9" customWidth="1"/>
    <col min="91" max="91" width="24.125" style="3" customWidth="1"/>
    <col min="92" max="96" width="17" style="3" customWidth="1"/>
    <col min="97" max="100" width="8.875" style="3"/>
    <col min="101" max="101" width="8.875" style="3" customWidth="1"/>
    <col min="102" max="16384" width="8.875" style="3"/>
  </cols>
  <sheetData>
    <row r="1" spans="1:96" ht="31.5" customHeight="1">
      <c r="A1" s="1562">
        <f>入力画面!C60</f>
        <v>0</v>
      </c>
      <c r="B1" s="1562"/>
      <c r="C1" s="1562"/>
      <c r="D1" s="1562"/>
      <c r="E1" s="1562"/>
      <c r="F1" s="1562"/>
      <c r="G1" s="1562"/>
      <c r="H1" s="1562"/>
      <c r="I1" s="1562"/>
      <c r="J1" s="1562"/>
      <c r="K1" s="1562"/>
      <c r="L1" s="1562"/>
      <c r="M1" s="1562"/>
      <c r="N1" s="1562"/>
      <c r="O1" s="1562"/>
      <c r="P1" s="1562"/>
      <c r="Q1" s="1562"/>
      <c r="R1" s="1562"/>
      <c r="S1" s="1562"/>
      <c r="T1" s="1562"/>
      <c r="U1" s="1562"/>
      <c r="V1" s="1562"/>
      <c r="W1" s="1562"/>
      <c r="X1" s="1565" t="s">
        <v>15</v>
      </c>
      <c r="Y1" s="1565"/>
      <c r="Z1" s="1565"/>
      <c r="AA1" s="5"/>
      <c r="AB1" s="5"/>
      <c r="AC1" s="224"/>
      <c r="AD1" s="159"/>
      <c r="AE1" s="228"/>
      <c r="AF1" s="228"/>
      <c r="AG1" s="241" t="s">
        <v>141</v>
      </c>
      <c r="AH1" s="218"/>
      <c r="AI1" s="219"/>
      <c r="AJ1" s="219"/>
      <c r="AK1" s="219"/>
      <c r="AL1" s="219"/>
      <c r="AM1" s="219"/>
      <c r="AN1" s="219"/>
      <c r="AO1" s="219"/>
      <c r="AP1" s="219"/>
      <c r="AQ1" s="219"/>
      <c r="AR1" s="219"/>
      <c r="AS1" s="219"/>
      <c r="AT1" s="219"/>
      <c r="AU1" s="219"/>
      <c r="AV1" s="219"/>
      <c r="AW1" s="219"/>
      <c r="AX1" s="1563" t="s">
        <v>80</v>
      </c>
      <c r="AY1" s="1563"/>
      <c r="AZ1" s="1563"/>
      <c r="BA1" s="1563"/>
      <c r="BB1" s="1563"/>
      <c r="BC1" s="1563"/>
      <c r="BD1" s="1563"/>
      <c r="BE1" s="1563"/>
      <c r="BF1" s="1563"/>
      <c r="BG1" s="1563"/>
      <c r="BH1" s="1563"/>
      <c r="BI1" s="1563"/>
      <c r="BJ1" s="1563"/>
      <c r="BK1" s="1563"/>
      <c r="BL1" s="1563"/>
      <c r="BM1" s="1563"/>
      <c r="BN1" s="1563"/>
      <c r="BO1" s="1563"/>
      <c r="BP1" s="1563"/>
      <c r="BQ1" s="1563"/>
      <c r="BR1" s="1563"/>
      <c r="BS1" s="1563"/>
      <c r="BT1" s="1563"/>
      <c r="BU1" s="1563"/>
      <c r="BV1" s="1563"/>
      <c r="BW1" s="6"/>
      <c r="BX1" s="7"/>
      <c r="BY1" s="7"/>
      <c r="BZ1" s="7"/>
      <c r="CA1" s="7"/>
      <c r="CB1" s="7"/>
      <c r="CC1" s="7"/>
      <c r="CD1" s="7"/>
      <c r="CE1" s="7"/>
      <c r="CF1" s="7"/>
      <c r="CG1" s="7"/>
      <c r="CH1" s="7"/>
      <c r="CI1" s="8"/>
      <c r="CR1" s="56"/>
    </row>
    <row r="2" spans="1:96" ht="31.5" customHeight="1">
      <c r="A2" s="1397" t="s">
        <v>48</v>
      </c>
      <c r="B2" s="1397"/>
      <c r="C2" s="1397"/>
      <c r="D2" s="1393">
        <f>入力画面!D9</f>
        <v>0</v>
      </c>
      <c r="E2" s="1393"/>
      <c r="F2" s="1393"/>
      <c r="G2" s="3" t="s">
        <v>22</v>
      </c>
      <c r="U2" s="11"/>
      <c r="V2" s="11"/>
      <c r="AC2" s="489"/>
      <c r="AD2" s="4"/>
      <c r="AE2" s="74"/>
      <c r="AF2" s="4"/>
      <c r="AG2" s="242">
        <f>AG6+AG272</f>
        <v>0</v>
      </c>
      <c r="AH2" s="4"/>
      <c r="AI2" s="174"/>
      <c r="AJ2" s="174"/>
      <c r="AK2" s="174"/>
      <c r="AL2" s="174"/>
      <c r="AM2" s="174"/>
      <c r="AN2" s="174"/>
      <c r="AO2" s="174"/>
      <c r="AP2" s="174"/>
      <c r="AQ2" s="174"/>
      <c r="AR2" s="174"/>
      <c r="AS2" s="174"/>
      <c r="AT2" s="174"/>
      <c r="AU2" s="174"/>
      <c r="AV2" s="174"/>
      <c r="AW2" s="174"/>
      <c r="AX2" s="1564"/>
      <c r="AY2" s="1564"/>
      <c r="AZ2" s="1564"/>
      <c r="BA2" s="1564"/>
      <c r="BB2" s="1564"/>
      <c r="BC2" s="1564"/>
      <c r="BD2" s="1564"/>
      <c r="BE2" s="1564"/>
      <c r="BF2" s="1564"/>
      <c r="BG2" s="1564"/>
      <c r="BH2" s="1564"/>
      <c r="BI2" s="1564"/>
      <c r="BJ2" s="1564"/>
      <c r="BK2" s="1564"/>
      <c r="BL2" s="1564"/>
      <c r="BM2" s="1564"/>
      <c r="BN2" s="1564"/>
      <c r="BO2" s="1564"/>
      <c r="BP2" s="1564"/>
      <c r="BQ2" s="1564"/>
      <c r="BR2" s="1564"/>
      <c r="BS2" s="1564"/>
      <c r="BT2" s="1564"/>
      <c r="BU2" s="1564"/>
      <c r="BV2" s="1564"/>
      <c r="BW2" s="12"/>
      <c r="BX2" s="4"/>
      <c r="BY2" s="4"/>
      <c r="BZ2" s="4"/>
      <c r="CA2" s="4"/>
      <c r="CB2" s="4"/>
      <c r="CC2" s="4"/>
      <c r="CD2" s="4"/>
      <c r="CE2" s="4"/>
      <c r="CF2" s="4"/>
      <c r="CG2" s="4"/>
      <c r="CH2" s="4"/>
      <c r="CI2" s="13"/>
      <c r="CR2" s="56"/>
    </row>
    <row r="3" spans="1:96" ht="16.5" customHeight="1">
      <c r="A3" s="1513" t="s">
        <v>2</v>
      </c>
      <c r="B3" s="1513"/>
      <c r="C3" s="1513"/>
      <c r="D3" s="14"/>
      <c r="E3" s="14"/>
      <c r="F3" s="14"/>
      <c r="G3" s="14"/>
      <c r="H3" s="14"/>
      <c r="I3" s="14"/>
      <c r="J3" s="14"/>
      <c r="K3" s="14"/>
      <c r="L3" s="14"/>
      <c r="M3" s="14"/>
      <c r="N3" s="14"/>
      <c r="O3" s="14"/>
      <c r="P3" s="14"/>
      <c r="Q3" s="14"/>
      <c r="R3" s="14"/>
      <c r="S3" s="14"/>
      <c r="T3" s="14"/>
      <c r="U3" s="14"/>
      <c r="V3" s="15"/>
      <c r="W3" s="1538" t="s">
        <v>50</v>
      </c>
      <c r="X3" s="1539"/>
      <c r="Y3" s="1539"/>
      <c r="Z3" s="1540"/>
      <c r="AA3" s="16"/>
      <c r="AB3" s="16"/>
      <c r="AC3" s="490"/>
      <c r="AD3" s="16"/>
      <c r="AE3" s="225"/>
      <c r="AF3" s="16"/>
      <c r="AG3" s="16"/>
      <c r="AH3" s="16"/>
      <c r="AI3" s="172"/>
      <c r="AJ3" s="172"/>
      <c r="AK3" s="172"/>
      <c r="AL3" s="172"/>
      <c r="AM3" s="172"/>
      <c r="AN3" s="172"/>
      <c r="AO3" s="172"/>
      <c r="AP3" s="172"/>
      <c r="AQ3" s="172"/>
      <c r="AR3" s="172"/>
      <c r="AS3" s="172"/>
      <c r="AT3" s="172"/>
      <c r="AU3" s="172"/>
      <c r="AV3" s="172"/>
      <c r="AW3" s="172"/>
      <c r="AX3" s="1564"/>
      <c r="AY3" s="1564"/>
      <c r="AZ3" s="1564"/>
      <c r="BA3" s="1564"/>
      <c r="BB3" s="1564"/>
      <c r="BC3" s="1564"/>
      <c r="BD3" s="1564"/>
      <c r="BE3" s="1564"/>
      <c r="BF3" s="1564"/>
      <c r="BG3" s="1564"/>
      <c r="BH3" s="1564"/>
      <c r="BI3" s="1564"/>
      <c r="BJ3" s="1564"/>
      <c r="BK3" s="1564"/>
      <c r="BL3" s="1564"/>
      <c r="BM3" s="1564"/>
      <c r="BN3" s="1564"/>
      <c r="BO3" s="1564"/>
      <c r="BP3" s="1564"/>
      <c r="BQ3" s="1564"/>
      <c r="BR3" s="1564"/>
      <c r="BS3" s="1564"/>
      <c r="BT3" s="1564"/>
      <c r="BU3" s="1564"/>
      <c r="BV3" s="1564"/>
      <c r="BW3" s="12"/>
      <c r="BX3" s="4"/>
      <c r="BY3" s="4"/>
      <c r="BZ3" s="4"/>
      <c r="CA3" s="4"/>
      <c r="CB3" s="4"/>
      <c r="CC3" s="4"/>
      <c r="CD3" s="4"/>
      <c r="CE3" s="4"/>
      <c r="CF3" s="4"/>
      <c r="CG3" s="4"/>
      <c r="CH3" s="4"/>
      <c r="CI3" s="13"/>
      <c r="CR3" s="56"/>
    </row>
    <row r="4" spans="1:96" ht="16.5" customHeight="1">
      <c r="A4" s="1513"/>
      <c r="B4" s="1513"/>
      <c r="C4" s="1513"/>
      <c r="W4" s="1541"/>
      <c r="X4" s="1542"/>
      <c r="Y4" s="1542"/>
      <c r="Z4" s="1543"/>
      <c r="AA4" s="16"/>
      <c r="AB4" s="16"/>
      <c r="AC4" s="490"/>
      <c r="AD4" s="16"/>
      <c r="AE4" s="225"/>
      <c r="AF4" s="238" t="s">
        <v>18</v>
      </c>
      <c r="AG4" s="1569" t="s">
        <v>139</v>
      </c>
      <c r="AH4" s="16"/>
      <c r="AI4" s="172"/>
      <c r="AJ4" s="172"/>
      <c r="AK4" s="172"/>
      <c r="AL4" s="172"/>
      <c r="AM4" s="172"/>
      <c r="AN4" s="172"/>
      <c r="AO4" s="172"/>
      <c r="AP4" s="172"/>
      <c r="AQ4" s="172"/>
      <c r="AR4" s="172"/>
      <c r="AS4" s="172"/>
      <c r="AT4" s="172"/>
      <c r="AU4" s="172"/>
      <c r="AV4" s="172"/>
      <c r="AW4" s="172"/>
      <c r="AX4" s="198"/>
      <c r="AY4" s="198"/>
      <c r="AZ4" s="198"/>
      <c r="BA4" s="220"/>
      <c r="BB4" s="220"/>
      <c r="BC4" s="198"/>
      <c r="BD4" s="398"/>
      <c r="BE4" s="398"/>
      <c r="BF4" s="398"/>
      <c r="BG4" s="398"/>
      <c r="BH4" s="398"/>
      <c r="BI4" s="398"/>
      <c r="BJ4" s="398"/>
      <c r="BK4" s="398"/>
      <c r="BL4" s="398"/>
      <c r="BM4" s="398"/>
      <c r="BN4" s="398"/>
      <c r="BO4" s="398"/>
      <c r="BP4" s="398"/>
      <c r="BQ4" s="398"/>
      <c r="BR4" s="398"/>
      <c r="BS4" s="198"/>
      <c r="BT4" s="198"/>
      <c r="BU4" s="198"/>
      <c r="BV4" s="198"/>
      <c r="BW4" s="12"/>
      <c r="BX4" s="4"/>
      <c r="BY4" s="4"/>
      <c r="BZ4" s="4"/>
      <c r="CA4" s="4"/>
      <c r="CB4" s="4"/>
      <c r="CC4" s="4"/>
      <c r="CD4" s="4"/>
      <c r="CE4" s="4"/>
      <c r="CF4" s="4"/>
      <c r="CG4" s="4"/>
      <c r="CH4" s="4"/>
      <c r="CI4" s="13"/>
      <c r="CR4" s="56"/>
    </row>
    <row r="5" spans="1:96" ht="27.75" customHeight="1">
      <c r="D5" s="116">
        <f>入力画面!G9</f>
        <v>7</v>
      </c>
      <c r="E5" s="1518" t="s">
        <v>23</v>
      </c>
      <c r="F5" s="1519"/>
      <c r="K5" s="18"/>
      <c r="R5" s="19" t="s">
        <v>28</v>
      </c>
      <c r="S5" s="20">
        <f>H20+H30+H40+H50+H60+H70+H80</f>
        <v>1</v>
      </c>
      <c r="T5" s="21" t="s">
        <v>4</v>
      </c>
      <c r="W5" s="22" t="s">
        <v>34</v>
      </c>
      <c r="X5" s="23">
        <f>IF($CM$14=0,0,IF($AH$13&gt;0,0,CM31))</f>
        <v>1857</v>
      </c>
      <c r="Y5" s="24" t="s">
        <v>39</v>
      </c>
      <c r="Z5" s="25">
        <f>IF($CM$14=0,0,IF($AH$13&gt;0,0,CM37))</f>
        <v>1560</v>
      </c>
      <c r="AA5" s="26"/>
      <c r="AB5" s="26"/>
      <c r="AC5" s="502" t="s">
        <v>34</v>
      </c>
      <c r="AD5" s="506" t="str">
        <f t="shared" ref="AD5:AD10" si="0">AK22</f>
        <v>OK</v>
      </c>
      <c r="AE5" s="486"/>
      <c r="AF5" s="239">
        <f>CE10</f>
        <v>670000</v>
      </c>
      <c r="AG5" s="1570"/>
      <c r="AH5" s="26"/>
      <c r="AI5" s="212" t="s">
        <v>44</v>
      </c>
      <c r="AJ5" s="212" t="s">
        <v>1</v>
      </c>
      <c r="AK5" s="268"/>
      <c r="AL5" s="268"/>
      <c r="AM5" s="268"/>
      <c r="AN5" s="268"/>
      <c r="AO5" s="268"/>
      <c r="AP5" s="268"/>
      <c r="AQ5" s="268"/>
      <c r="AR5" s="268"/>
      <c r="AS5" s="268"/>
      <c r="AT5" s="268"/>
      <c r="AU5" s="268"/>
      <c r="AV5" s="268"/>
      <c r="AW5" s="268"/>
      <c r="AX5" s="198"/>
      <c r="AY5" s="198"/>
      <c r="AZ5" s="198"/>
      <c r="BA5" s="220"/>
      <c r="BB5" s="220"/>
      <c r="BC5" s="198"/>
      <c r="BD5" s="398"/>
      <c r="BE5" s="398"/>
      <c r="BF5" s="398"/>
      <c r="BG5" s="398"/>
      <c r="BH5" s="398"/>
      <c r="BI5" s="398"/>
      <c r="BJ5" s="398"/>
      <c r="BK5" s="398"/>
      <c r="BL5" s="398"/>
      <c r="BM5" s="398"/>
      <c r="BN5" s="398"/>
      <c r="BO5" s="398"/>
      <c r="BP5" s="398"/>
      <c r="BQ5" s="398"/>
      <c r="BR5" s="398"/>
      <c r="BS5" s="198"/>
      <c r="BT5" s="198"/>
      <c r="BU5" s="198"/>
      <c r="BV5" s="198"/>
      <c r="BW5" s="12"/>
      <c r="BX5" s="4"/>
      <c r="BY5" s="4"/>
      <c r="BZ5" s="4"/>
      <c r="CA5" s="4"/>
      <c r="CB5" s="4"/>
      <c r="CC5" s="4"/>
      <c r="CD5" s="1461" t="s">
        <v>16</v>
      </c>
      <c r="CE5" s="1461"/>
      <c r="CF5" s="1461"/>
      <c r="CG5" s="1461"/>
      <c r="CH5" s="1461"/>
      <c r="CI5" s="13"/>
      <c r="CR5" s="56"/>
    </row>
    <row r="6" spans="1:96" ht="27.75" customHeight="1">
      <c r="A6" s="1555">
        <f>'合計（印刷）'!B2</f>
        <v>0</v>
      </c>
      <c r="B6" s="1555"/>
      <c r="C6" s="1555"/>
      <c r="D6" s="1555"/>
      <c r="E6" s="1555"/>
      <c r="F6" s="1555"/>
      <c r="G6" s="1555"/>
      <c r="H6" s="1555"/>
      <c r="I6" s="1555"/>
      <c r="J6" s="1555"/>
      <c r="K6" s="1555"/>
      <c r="L6" s="1555"/>
      <c r="M6" s="1555"/>
      <c r="N6" s="1555"/>
      <c r="O6" s="1555"/>
      <c r="P6" s="1555"/>
      <c r="Q6" s="1555"/>
      <c r="R6" s="1555"/>
      <c r="S6" s="1555"/>
      <c r="T6" s="1555"/>
      <c r="U6" s="1555"/>
      <c r="W6" s="28" t="s">
        <v>35</v>
      </c>
      <c r="X6" s="29">
        <f t="shared" ref="X6:X10" si="1">IF($CM$14=0,0,IF($AH$13&gt;0,0,CM32))</f>
        <v>1560</v>
      </c>
      <c r="Y6" s="30" t="s">
        <v>40</v>
      </c>
      <c r="Z6" s="31">
        <f>IF($CM$14=0,0,IF($AH$13&gt;0,0,CM38))</f>
        <v>1561</v>
      </c>
      <c r="AA6" s="26"/>
      <c r="AB6" s="26"/>
      <c r="AC6" s="503" t="s">
        <v>35</v>
      </c>
      <c r="AD6" s="507" t="str">
        <f t="shared" si="0"/>
        <v>OK</v>
      </c>
      <c r="AE6" s="486"/>
      <c r="AF6" s="237" t="s">
        <v>44</v>
      </c>
      <c r="AG6" s="1571">
        <f>IF(AF5&gt;=AF7,0,1)</f>
        <v>0</v>
      </c>
      <c r="AH6" s="26"/>
      <c r="AI6" s="213" t="s">
        <v>111</v>
      </c>
      <c r="AJ6" s="177" t="e">
        <f>AJ16+AJ24+AJ32+AJ40+AJ47+AJ54+AJ62</f>
        <v>#VALUE!</v>
      </c>
      <c r="AK6" s="179"/>
      <c r="AL6" s="179"/>
      <c r="AM6" s="179"/>
      <c r="AN6" s="179"/>
      <c r="AO6" s="179"/>
      <c r="AP6" s="179"/>
      <c r="AQ6" s="179"/>
      <c r="AR6" s="179"/>
      <c r="AS6" s="179"/>
      <c r="AT6" s="179"/>
      <c r="AU6" s="179"/>
      <c r="AV6" s="179"/>
      <c r="AW6" s="179"/>
      <c r="AX6" s="198"/>
      <c r="AY6" s="143"/>
      <c r="AZ6" s="221"/>
      <c r="BA6" s="220"/>
      <c r="BB6" s="220"/>
      <c r="BC6" s="198"/>
      <c r="BD6" s="398"/>
      <c r="BE6" s="398"/>
      <c r="BF6" s="398"/>
      <c r="BG6" s="398"/>
      <c r="BH6" s="398"/>
      <c r="BI6" s="398"/>
      <c r="BJ6" s="398"/>
      <c r="BK6" s="398"/>
      <c r="BL6" s="398"/>
      <c r="BM6" s="398"/>
      <c r="BN6" s="398"/>
      <c r="BO6" s="398"/>
      <c r="BP6" s="398"/>
      <c r="BQ6" s="398"/>
      <c r="BR6" s="398"/>
      <c r="BS6" s="198"/>
      <c r="BT6" s="198"/>
      <c r="BU6" s="198"/>
      <c r="BV6" s="198"/>
      <c r="BW6" s="12"/>
      <c r="BX6" s="32"/>
      <c r="BY6" s="33" t="str">
        <f>BY16</f>
        <v>料率</v>
      </c>
      <c r="BZ6" s="33">
        <f>BZ16</f>
        <v>7</v>
      </c>
      <c r="CA6" s="33">
        <f>CA16</f>
        <v>5</v>
      </c>
      <c r="CB6" s="33">
        <f>CB16</f>
        <v>2</v>
      </c>
      <c r="CC6" s="4"/>
      <c r="CD6" s="34"/>
      <c r="CE6" s="35" t="s">
        <v>19</v>
      </c>
      <c r="CF6" s="36">
        <v>7</v>
      </c>
      <c r="CG6" s="36">
        <v>5</v>
      </c>
      <c r="CH6" s="36">
        <v>2</v>
      </c>
      <c r="CI6" s="13"/>
      <c r="CR6" s="56"/>
    </row>
    <row r="7" spans="1:96" ht="27.75" customHeight="1">
      <c r="A7" s="37"/>
      <c r="B7" s="38"/>
      <c r="C7" s="38"/>
      <c r="D7" s="38"/>
      <c r="E7" s="38"/>
      <c r="F7" s="38"/>
      <c r="G7" s="38"/>
      <c r="H7" s="39"/>
      <c r="I7" s="38"/>
      <c r="J7" s="38"/>
      <c r="K7" s="40" t="s">
        <v>9</v>
      </c>
      <c r="L7" s="38"/>
      <c r="M7" s="38"/>
      <c r="N7" s="41"/>
      <c r="O7" s="166"/>
      <c r="P7" s="167"/>
      <c r="Q7" s="38"/>
      <c r="R7" s="38"/>
      <c r="S7" s="38"/>
      <c r="T7" s="38"/>
      <c r="U7" s="38"/>
      <c r="V7" s="141"/>
      <c r="W7" s="28" t="s">
        <v>36</v>
      </c>
      <c r="X7" s="29">
        <f t="shared" si="1"/>
        <v>1560</v>
      </c>
      <c r="Y7" s="30" t="s">
        <v>41</v>
      </c>
      <c r="Z7" s="31">
        <f>IF($CM$14=0,0,IF($AH$13&gt;0,0,CM39))</f>
        <v>1561</v>
      </c>
      <c r="AA7" s="26"/>
      <c r="AB7" s="26"/>
      <c r="AC7" s="503" t="s">
        <v>36</v>
      </c>
      <c r="AD7" s="507" t="str">
        <f t="shared" si="0"/>
        <v>OK</v>
      </c>
      <c r="AE7" s="487"/>
      <c r="AF7" s="45">
        <f>AF10+AF16+AF26+AF36+AF46+AF56+AF66+AF76</f>
        <v>15990</v>
      </c>
      <c r="AG7" s="1572"/>
      <c r="AH7" s="26"/>
      <c r="AI7" s="213" t="s">
        <v>110</v>
      </c>
      <c r="AJ7" s="177" t="e">
        <f>AJ17+AJ25+AJ33+AJ41+AJ48+AJ55+AJ63</f>
        <v>#VALUE!</v>
      </c>
      <c r="AK7" s="179"/>
      <c r="AL7" s="179"/>
      <c r="AM7" s="179"/>
      <c r="AN7" s="179"/>
      <c r="AO7" s="179"/>
      <c r="AP7" s="179"/>
      <c r="AQ7" s="179"/>
      <c r="AR7" s="179"/>
      <c r="AS7" s="179"/>
      <c r="AT7" s="179"/>
      <c r="AU7" s="179"/>
      <c r="AV7" s="179"/>
      <c r="AW7" s="179"/>
      <c r="AX7" s="198"/>
      <c r="AY7" s="143"/>
      <c r="AZ7" s="221"/>
      <c r="BA7" s="220"/>
      <c r="BB7" s="220"/>
      <c r="BC7" s="198"/>
      <c r="BD7" s="398"/>
      <c r="BE7" s="398"/>
      <c r="BF7" s="398"/>
      <c r="BG7" s="398"/>
      <c r="BH7" s="398"/>
      <c r="BI7" s="398"/>
      <c r="BJ7" s="398"/>
      <c r="BK7" s="398"/>
      <c r="BL7" s="398"/>
      <c r="BM7" s="398"/>
      <c r="BN7" s="398"/>
      <c r="BO7" s="398"/>
      <c r="BP7" s="398"/>
      <c r="BQ7" s="398"/>
      <c r="BR7" s="398"/>
      <c r="BS7" s="198"/>
      <c r="BT7" s="198"/>
      <c r="BU7" s="198"/>
      <c r="BV7" s="198"/>
      <c r="BW7" s="12"/>
      <c r="BX7" s="32" t="s">
        <v>1</v>
      </c>
      <c r="BY7" s="44">
        <v>0</v>
      </c>
      <c r="BZ7" s="45">
        <f>CF9</f>
        <v>19090</v>
      </c>
      <c r="CA7" s="45">
        <f>CG9</f>
        <v>13640</v>
      </c>
      <c r="CB7" s="45">
        <f>CH9</f>
        <v>5460</v>
      </c>
      <c r="CC7" s="4"/>
      <c r="CD7" s="46" t="s">
        <v>0</v>
      </c>
      <c r="CE7" s="47">
        <f>入力画面!E63</f>
        <v>8.98</v>
      </c>
      <c r="CF7" s="48"/>
      <c r="CG7" s="48"/>
      <c r="CH7" s="48"/>
      <c r="CI7" s="13"/>
      <c r="CR7" s="56"/>
    </row>
    <row r="8" spans="1:96" ht="27.75" customHeight="1">
      <c r="A8" s="1384" t="s">
        <v>1</v>
      </c>
      <c r="B8" s="1385"/>
      <c r="C8" s="1010" t="s">
        <v>107</v>
      </c>
      <c r="D8" s="1379" t="s">
        <v>121</v>
      </c>
      <c r="E8" s="1382">
        <f>IF(S5&gt;0,CE9,0)</f>
        <v>27270</v>
      </c>
      <c r="F8" s="1382"/>
      <c r="G8" s="1382"/>
      <c r="H8" s="1010" t="s">
        <v>109</v>
      </c>
      <c r="I8" s="12"/>
      <c r="J8" s="1010" t="s">
        <v>59</v>
      </c>
      <c r="K8" s="51">
        <f>MAX(BV76:BV82)</f>
        <v>12</v>
      </c>
      <c r="L8" s="52" t="s">
        <v>5</v>
      </c>
      <c r="M8" s="1395" t="s">
        <v>122</v>
      </c>
      <c r="N8" s="1392" t="s">
        <v>14</v>
      </c>
      <c r="O8" s="1525">
        <f>E8*K8/K9</f>
        <v>27270</v>
      </c>
      <c r="P8" s="1525"/>
      <c r="Q8" s="1524" t="s">
        <v>6</v>
      </c>
      <c r="R8" s="1391"/>
      <c r="S8" s="1524"/>
      <c r="T8" s="49"/>
      <c r="U8" s="49"/>
      <c r="V8" s="53"/>
      <c r="W8" s="28" t="s">
        <v>43</v>
      </c>
      <c r="X8" s="29">
        <f t="shared" si="1"/>
        <v>1560</v>
      </c>
      <c r="Y8" s="30" t="s">
        <v>42</v>
      </c>
      <c r="Z8" s="31">
        <f>IF($CM$14=0,0,IF($AH$13&gt;0,0,CM40))</f>
        <v>1561</v>
      </c>
      <c r="AA8" s="26"/>
      <c r="AB8" s="26"/>
      <c r="AC8" s="503" t="s">
        <v>43</v>
      </c>
      <c r="AD8" s="507" t="str">
        <f t="shared" si="0"/>
        <v>OK</v>
      </c>
      <c r="AE8" s="499">
        <f>IF(AG6&gt;0,"限度超過",U20+U30+U40+U50+U60+U80)</f>
        <v>15900</v>
      </c>
      <c r="AF8" s="26"/>
      <c r="AG8" s="26"/>
      <c r="AH8" s="26"/>
      <c r="AI8" s="173"/>
      <c r="AJ8" s="173"/>
      <c r="AK8" s="173"/>
      <c r="AL8" s="173"/>
      <c r="AM8" s="173"/>
      <c r="AN8" s="173"/>
      <c r="AO8" s="173"/>
      <c r="AP8" s="173"/>
      <c r="AQ8" s="173"/>
      <c r="AR8" s="173"/>
      <c r="AS8" s="173"/>
      <c r="AT8" s="173"/>
      <c r="AU8" s="173"/>
      <c r="AV8" s="173"/>
      <c r="AW8" s="173"/>
      <c r="AX8" s="198"/>
      <c r="AY8" s="143"/>
      <c r="AZ8" s="221"/>
      <c r="BA8" s="220"/>
      <c r="BB8" s="220"/>
      <c r="BC8" s="198"/>
      <c r="BD8" s="398"/>
      <c r="BE8" s="398"/>
      <c r="BF8" s="398"/>
      <c r="BG8" s="398"/>
      <c r="BH8" s="398"/>
      <c r="BI8" s="398"/>
      <c r="BJ8" s="398"/>
      <c r="BK8" s="398"/>
      <c r="BL8" s="398"/>
      <c r="BM8" s="398"/>
      <c r="BN8" s="398"/>
      <c r="BO8" s="398"/>
      <c r="BP8" s="398"/>
      <c r="BQ8" s="398"/>
      <c r="BR8" s="398"/>
      <c r="BS8" s="198"/>
      <c r="BT8" s="198"/>
      <c r="BU8" s="198"/>
      <c r="BV8" s="198"/>
      <c r="BW8" s="12"/>
      <c r="BX8" s="32" t="s">
        <v>8</v>
      </c>
      <c r="BY8" s="45">
        <f>K8</f>
        <v>12</v>
      </c>
      <c r="BZ8" s="45">
        <f t="shared" ref="BZ8:CB9" si="2">BY8</f>
        <v>12</v>
      </c>
      <c r="CA8" s="45">
        <f t="shared" si="2"/>
        <v>12</v>
      </c>
      <c r="CB8" s="45">
        <f t="shared" si="2"/>
        <v>12</v>
      </c>
      <c r="CC8" s="4"/>
      <c r="CD8" s="46" t="s">
        <v>17</v>
      </c>
      <c r="CE8" s="54">
        <f>入力画面!E64</f>
        <v>26060</v>
      </c>
      <c r="CF8" s="54">
        <f>ROUNDUP(CE8*CF6/10,-1)</f>
        <v>18250</v>
      </c>
      <c r="CG8" s="54">
        <f>ROUNDUP(CE8*CG6/10,-1)</f>
        <v>13030</v>
      </c>
      <c r="CH8" s="54">
        <f>ROUNDUP(CE8*CH6/10,-1)</f>
        <v>5220</v>
      </c>
      <c r="CI8" s="13"/>
      <c r="CK8" s="1480" t="s">
        <v>210</v>
      </c>
      <c r="CL8" s="1480"/>
      <c r="CM8" s="1480"/>
      <c r="CN8" s="1480"/>
      <c r="CR8" s="56"/>
    </row>
    <row r="9" spans="1:96" ht="27.75" customHeight="1">
      <c r="A9" s="1384"/>
      <c r="B9" s="1385"/>
      <c r="C9" s="1010"/>
      <c r="D9" s="1379"/>
      <c r="E9" s="1382"/>
      <c r="F9" s="1382"/>
      <c r="G9" s="1382"/>
      <c r="H9" s="1010"/>
      <c r="I9" s="12"/>
      <c r="J9" s="1010"/>
      <c r="K9" s="55">
        <v>12</v>
      </c>
      <c r="L9" s="12" t="s">
        <v>5</v>
      </c>
      <c r="M9" s="1395"/>
      <c r="N9" s="1392"/>
      <c r="O9" s="1525"/>
      <c r="P9" s="1525"/>
      <c r="Q9" s="1524"/>
      <c r="R9" s="1391"/>
      <c r="S9" s="1524"/>
      <c r="T9" s="49" t="s">
        <v>113</v>
      </c>
      <c r="U9" s="49"/>
      <c r="V9" s="53"/>
      <c r="W9" s="28" t="s">
        <v>37</v>
      </c>
      <c r="X9" s="29">
        <f t="shared" si="1"/>
        <v>1560</v>
      </c>
      <c r="Y9" s="1557" t="s">
        <v>44</v>
      </c>
      <c r="Z9" s="1420">
        <f>IF(AH13&gt;0,0,X5+X6+X7+X8+X9+X10+Z5+Z6+Z7+Z8)</f>
        <v>15900</v>
      </c>
      <c r="AA9" s="26"/>
      <c r="AB9" s="26"/>
      <c r="AC9" s="503" t="s">
        <v>37</v>
      </c>
      <c r="AD9" s="507" t="str">
        <f t="shared" si="0"/>
        <v>OK</v>
      </c>
      <c r="AE9" s="500" t="str">
        <f>IF(AG6&gt;0,"限度超過",IF(Z9=AE8,"OK","エラー"))</f>
        <v>OK</v>
      </c>
      <c r="AF9" s="470"/>
      <c r="AG9" s="26"/>
      <c r="AH9" s="4"/>
      <c r="AI9" s="176"/>
      <c r="AJ9" s="213" t="s">
        <v>1</v>
      </c>
      <c r="AK9" s="174"/>
      <c r="AL9" s="174"/>
      <c r="AM9" s="174"/>
      <c r="AN9" s="174"/>
      <c r="AO9" s="174"/>
      <c r="AP9" s="174"/>
      <c r="AQ9" s="174"/>
      <c r="AR9" s="174"/>
      <c r="AS9" s="174"/>
      <c r="AT9" s="3"/>
      <c r="AU9" s="3"/>
      <c r="AV9" s="174"/>
      <c r="AW9" s="174"/>
      <c r="AX9" s="12"/>
      <c r="AY9" s="143"/>
      <c r="AZ9" s="221"/>
      <c r="BB9" s="192"/>
      <c r="BC9" s="12"/>
      <c r="BE9" s="57"/>
      <c r="BG9" s="57"/>
      <c r="BH9" s="12"/>
      <c r="BJ9" s="57"/>
      <c r="BL9" s="57"/>
      <c r="BM9" s="12"/>
      <c r="BO9" s="57"/>
      <c r="BQ9" s="57"/>
      <c r="BR9" s="12"/>
      <c r="BS9" s="12"/>
      <c r="BT9" s="12"/>
      <c r="BU9" s="12"/>
      <c r="BV9" s="12"/>
      <c r="BW9" s="12"/>
      <c r="BX9" s="32" t="s">
        <v>25</v>
      </c>
      <c r="BY9" s="45">
        <f>K9</f>
        <v>12</v>
      </c>
      <c r="BZ9" s="45">
        <f t="shared" si="2"/>
        <v>12</v>
      </c>
      <c r="CA9" s="45">
        <f t="shared" si="2"/>
        <v>12</v>
      </c>
      <c r="CB9" s="45">
        <f t="shared" si="2"/>
        <v>12</v>
      </c>
      <c r="CC9" s="4"/>
      <c r="CD9" s="46" t="s">
        <v>1</v>
      </c>
      <c r="CE9" s="54">
        <f>入力画面!E65</f>
        <v>27270</v>
      </c>
      <c r="CF9" s="54">
        <f>ROUNDUP(CE9*CF6/10,-1)</f>
        <v>19090</v>
      </c>
      <c r="CG9" s="54">
        <f>ROUNDUP(CE9*CG6/10,-1)</f>
        <v>13640</v>
      </c>
      <c r="CH9" s="54">
        <f>ROUNDUP(CE9*CH6/10,-1)</f>
        <v>5460</v>
      </c>
      <c r="CI9" s="13"/>
      <c r="CK9" s="1480"/>
      <c r="CL9" s="1480"/>
      <c r="CM9" s="1480"/>
      <c r="CN9" s="1480"/>
      <c r="CR9" s="56"/>
    </row>
    <row r="10" spans="1:96" ht="27.75" customHeight="1">
      <c r="A10" s="165"/>
      <c r="B10" s="12"/>
      <c r="C10" s="12"/>
      <c r="D10" s="12"/>
      <c r="E10" s="12"/>
      <c r="F10" s="12"/>
      <c r="G10" s="12"/>
      <c r="H10" s="50"/>
      <c r="I10" s="12"/>
      <c r="J10" s="12"/>
      <c r="K10" s="76" t="s">
        <v>9</v>
      </c>
      <c r="L10" s="12"/>
      <c r="M10" s="12"/>
      <c r="N10" s="94"/>
      <c r="O10" s="42"/>
      <c r="P10" s="43"/>
      <c r="Q10" s="12"/>
      <c r="R10" s="12"/>
      <c r="S10" s="12" t="s">
        <v>116</v>
      </c>
      <c r="T10" s="161">
        <f>O8-O11</f>
        <v>8180</v>
      </c>
      <c r="U10" s="12" t="s">
        <v>6</v>
      </c>
      <c r="V10" s="12"/>
      <c r="W10" s="65" t="s">
        <v>38</v>
      </c>
      <c r="X10" s="29">
        <f t="shared" si="1"/>
        <v>1560</v>
      </c>
      <c r="Y10" s="1558"/>
      <c r="Z10" s="1559"/>
      <c r="AA10" s="4"/>
      <c r="AB10" s="4"/>
      <c r="AC10" s="503" t="s">
        <v>38</v>
      </c>
      <c r="AD10" s="507" t="str">
        <f t="shared" si="0"/>
        <v>OK</v>
      </c>
      <c r="AE10" s="499">
        <f>IF(AH13&gt;0,0,L87)</f>
        <v>15900</v>
      </c>
      <c r="AF10" s="471">
        <f>E8-E11</f>
        <v>8180</v>
      </c>
      <c r="AG10" s="4"/>
      <c r="AH10" s="4"/>
      <c r="AI10" s="178" t="s">
        <v>112</v>
      </c>
      <c r="AJ10" s="177">
        <f>IF(T10=0,0,O11/(K17+K27+K37+K47+K57+K67+K77))</f>
        <v>1591</v>
      </c>
      <c r="AK10" s="179"/>
      <c r="AL10" s="179"/>
      <c r="AM10" s="179"/>
      <c r="AN10" s="179"/>
      <c r="AO10" s="179"/>
      <c r="AP10" s="179"/>
      <c r="AQ10" s="179"/>
      <c r="AR10" s="179"/>
      <c r="AS10" s="179"/>
      <c r="AT10" s="3"/>
      <c r="AU10" s="3"/>
      <c r="AV10" s="179"/>
      <c r="AW10" s="179"/>
      <c r="AX10" s="12"/>
      <c r="AY10" s="1468" t="s">
        <v>266</v>
      </c>
      <c r="AZ10" s="1469"/>
      <c r="BA10" s="1470"/>
      <c r="BB10" s="462">
        <f>BB20+BB30+BB40+BB50+BB60+BB70+BB80</f>
        <v>15900</v>
      </c>
      <c r="BC10" s="12"/>
      <c r="BD10" s="142"/>
      <c r="BE10" s="57"/>
      <c r="BH10" s="12"/>
      <c r="BJ10" s="57"/>
      <c r="BM10" s="12"/>
      <c r="BO10" s="57"/>
      <c r="BR10" s="12"/>
      <c r="BS10" s="12"/>
      <c r="BT10" s="12"/>
      <c r="BU10" s="12"/>
      <c r="BV10" s="12"/>
      <c r="BW10" s="12"/>
      <c r="BX10" s="67" t="s">
        <v>27</v>
      </c>
      <c r="BY10" s="44">
        <v>0</v>
      </c>
      <c r="BZ10" s="45">
        <f>ROUNDDOWN(BZ7*BZ8/BZ9,0)</f>
        <v>19090</v>
      </c>
      <c r="CA10" s="45">
        <f>ROUNDDOWN(CA7*CA8/CA9,0)</f>
        <v>13640</v>
      </c>
      <c r="CB10" s="45">
        <f>ROUNDDOWN(CB7*CB8/CB9,0)</f>
        <v>5460</v>
      </c>
      <c r="CC10" s="4"/>
      <c r="CD10" s="46" t="s">
        <v>18</v>
      </c>
      <c r="CE10" s="54">
        <f>入力画面!E66</f>
        <v>670000</v>
      </c>
      <c r="CF10" s="48"/>
      <c r="CG10" s="48"/>
      <c r="CH10" s="48"/>
      <c r="CI10" s="13"/>
      <c r="CR10" s="56"/>
    </row>
    <row r="11" spans="1:96" ht="16.5" customHeight="1">
      <c r="A11" s="1384"/>
      <c r="B11" s="1385"/>
      <c r="C11" s="1010" t="s">
        <v>24</v>
      </c>
      <c r="D11" s="1379" t="s">
        <v>123</v>
      </c>
      <c r="E11" s="1382">
        <f>IF(D5=0,0,IF(D5=7,CF9,IF(D5=5,CG9,IF(D5=2,CH9,"軽減誤り"))))</f>
        <v>19090</v>
      </c>
      <c r="F11" s="1382"/>
      <c r="G11" s="1382"/>
      <c r="H11" s="1010" t="s">
        <v>109</v>
      </c>
      <c r="I11" s="12"/>
      <c r="J11" s="1010" t="s">
        <v>59</v>
      </c>
      <c r="K11" s="51">
        <f>MAX(BV76:BV82)</f>
        <v>12</v>
      </c>
      <c r="L11" s="52" t="s">
        <v>5</v>
      </c>
      <c r="M11" s="1395" t="s">
        <v>122</v>
      </c>
      <c r="N11" s="1392" t="s">
        <v>14</v>
      </c>
      <c r="O11" s="1525">
        <f>E11*K11/K12</f>
        <v>19090</v>
      </c>
      <c r="P11" s="1525"/>
      <c r="Q11" s="1524" t="s">
        <v>6</v>
      </c>
      <c r="R11" s="12"/>
      <c r="S11" s="12"/>
      <c r="T11" s="49"/>
      <c r="U11" s="49"/>
      <c r="V11" s="12"/>
      <c r="W11" s="1573" t="s">
        <v>120</v>
      </c>
      <c r="X11" s="1574"/>
      <c r="Y11" s="1575">
        <f>IF(Z9=0,0,Z9/K8)</f>
        <v>1325</v>
      </c>
      <c r="Z11" s="1576"/>
      <c r="AA11" s="4"/>
      <c r="AB11" s="4"/>
      <c r="AC11" s="503" t="s">
        <v>39</v>
      </c>
      <c r="AD11" s="505" t="str">
        <f>AM22</f>
        <v>OK</v>
      </c>
      <c r="AE11" s="500" t="str">
        <f>IF(Z9=AE10,"OK","エラー")</f>
        <v>OK</v>
      </c>
      <c r="AF11" s="472"/>
      <c r="AG11" s="95" t="s">
        <v>167</v>
      </c>
      <c r="AH11" s="1560" t="s">
        <v>142</v>
      </c>
      <c r="AI11" s="174"/>
      <c r="AJ11" s="174"/>
      <c r="AK11" s="174"/>
      <c r="AL11" s="174"/>
      <c r="AM11" s="174"/>
      <c r="AN11" s="174"/>
      <c r="AO11" s="1566" t="s">
        <v>215</v>
      </c>
      <c r="AP11" s="1566"/>
      <c r="AQ11" s="1566"/>
      <c r="AR11" s="1566"/>
      <c r="AS11" s="174"/>
      <c r="AT11" s="3"/>
      <c r="AU11" s="3"/>
      <c r="AV11" s="174"/>
      <c r="AW11" s="174"/>
      <c r="AX11" s="12"/>
      <c r="AY11" s="143"/>
      <c r="AZ11" s="57"/>
      <c r="BB11" s="1471" t="s">
        <v>265</v>
      </c>
      <c r="BC11" s="12"/>
      <c r="BD11" s="142"/>
      <c r="BE11" s="57"/>
      <c r="BH11" s="12"/>
      <c r="BJ11" s="57"/>
      <c r="BM11" s="12"/>
      <c r="BO11" s="57"/>
      <c r="BR11" s="12"/>
      <c r="BS11" s="12"/>
      <c r="BT11" s="12"/>
      <c r="BU11" s="12"/>
      <c r="BV11" s="12"/>
      <c r="BW11" s="12"/>
      <c r="BX11" s="4"/>
      <c r="BY11" s="164"/>
      <c r="BZ11" s="26"/>
      <c r="CA11" s="26"/>
      <c r="CB11" s="26"/>
      <c r="CC11" s="4"/>
      <c r="CD11" s="35" t="s">
        <v>21</v>
      </c>
      <c r="CE11" s="54">
        <f>入力画面!E67</f>
        <v>430000</v>
      </c>
      <c r="CF11" s="48"/>
      <c r="CG11" s="48"/>
      <c r="CH11" s="48"/>
      <c r="CI11" s="13"/>
      <c r="CM11" s="292"/>
      <c r="CN11" s="292"/>
      <c r="CO11" s="292"/>
      <c r="CP11" s="292"/>
      <c r="CQ11" s="292"/>
      <c r="CR11" s="308"/>
    </row>
    <row r="12" spans="1:96" ht="16.5" customHeight="1" thickBot="1">
      <c r="A12" s="1384"/>
      <c r="B12" s="1385"/>
      <c r="C12" s="1010"/>
      <c r="D12" s="1379"/>
      <c r="E12" s="1382"/>
      <c r="F12" s="1382"/>
      <c r="G12" s="1382"/>
      <c r="H12" s="1010"/>
      <c r="I12" s="12"/>
      <c r="J12" s="1010"/>
      <c r="K12" s="55">
        <v>12</v>
      </c>
      <c r="L12" s="12" t="s">
        <v>5</v>
      </c>
      <c r="M12" s="1395"/>
      <c r="N12" s="1392"/>
      <c r="O12" s="1525"/>
      <c r="P12" s="1525"/>
      <c r="Q12" s="1524"/>
      <c r="R12" s="12"/>
      <c r="S12" s="12"/>
      <c r="T12" s="49" t="s">
        <v>114</v>
      </c>
      <c r="U12" s="49"/>
      <c r="V12" s="75" t="s">
        <v>118</v>
      </c>
      <c r="W12" s="4"/>
      <c r="X12" s="26"/>
      <c r="Y12" s="74"/>
      <c r="Z12" s="185"/>
      <c r="AA12" s="4"/>
      <c r="AB12" s="4"/>
      <c r="AC12" s="503" t="s">
        <v>40</v>
      </c>
      <c r="AD12" s="505" t="str">
        <f>AM23</f>
        <v>OK</v>
      </c>
      <c r="AE12" s="74"/>
      <c r="AF12" s="229"/>
      <c r="AG12" s="4"/>
      <c r="AH12" s="1561"/>
      <c r="AI12" s="174"/>
      <c r="AJ12" s="174"/>
      <c r="AK12" s="174"/>
      <c r="AL12" s="174"/>
      <c r="AM12" s="174"/>
      <c r="AN12" s="174"/>
      <c r="AO12" s="1566"/>
      <c r="AP12" s="1566"/>
      <c r="AQ12" s="1566"/>
      <c r="AR12" s="1566"/>
      <c r="AS12" s="174"/>
      <c r="AT12" s="292"/>
      <c r="AU12" s="292"/>
      <c r="AV12" s="174"/>
      <c r="AW12" s="174"/>
      <c r="AX12" s="12"/>
      <c r="AY12" s="143"/>
      <c r="AZ12" s="57"/>
      <c r="BB12" s="1472"/>
      <c r="BC12" s="12"/>
      <c r="BD12" s="142"/>
      <c r="BE12" s="57"/>
      <c r="BH12" s="12"/>
      <c r="BJ12" s="57"/>
      <c r="BM12" s="12"/>
      <c r="BO12" s="57"/>
      <c r="BR12" s="12"/>
      <c r="BS12" s="12"/>
      <c r="BT12" s="12"/>
      <c r="BU12" s="12"/>
      <c r="BV12" s="12"/>
      <c r="BW12" s="12"/>
      <c r="BX12" s="4"/>
      <c r="BY12" s="164"/>
      <c r="BZ12" s="26"/>
      <c r="CA12" s="26"/>
      <c r="CB12" s="26"/>
      <c r="CC12" s="4"/>
      <c r="CD12" s="575" t="s">
        <v>340</v>
      </c>
      <c r="CE12" s="54">
        <f>入力画面!E68</f>
        <v>13030</v>
      </c>
      <c r="CF12" s="54">
        <f>入力画面!G68</f>
        <v>3900</v>
      </c>
      <c r="CG12" s="54">
        <f>入力画面!J68</f>
        <v>6510</v>
      </c>
      <c r="CH12" s="54">
        <f>入力画面!N68</f>
        <v>10420</v>
      </c>
      <c r="CI12" s="13"/>
      <c r="CK12" s="293" t="s">
        <v>200</v>
      </c>
      <c r="CL12" s="276" t="s">
        <v>196</v>
      </c>
      <c r="CM12" s="657" t="s">
        <v>401</v>
      </c>
      <c r="CN12" s="294"/>
      <c r="CP12" s="292"/>
      <c r="CR12" s="56"/>
    </row>
    <row r="13" spans="1:96" ht="16.5" customHeight="1" thickTop="1" thickBot="1">
      <c r="A13" s="58"/>
      <c r="B13" s="59"/>
      <c r="C13" s="59"/>
      <c r="D13" s="52"/>
      <c r="E13" s="60"/>
      <c r="F13" s="52"/>
      <c r="G13" s="52"/>
      <c r="H13" s="27"/>
      <c r="I13" s="52"/>
      <c r="J13" s="27"/>
      <c r="K13" s="61"/>
      <c r="L13" s="52"/>
      <c r="M13" s="52"/>
      <c r="N13" s="62"/>
      <c r="O13" s="62"/>
      <c r="P13" s="52"/>
      <c r="Q13" s="63"/>
      <c r="R13" s="60"/>
      <c r="S13" s="59" t="s">
        <v>124</v>
      </c>
      <c r="T13" s="210">
        <f>入力画面!I13+K27+K37+K47+K57+K67+K77</f>
        <v>12</v>
      </c>
      <c r="U13" s="59" t="s">
        <v>5</v>
      </c>
      <c r="V13" s="52" t="s">
        <v>125</v>
      </c>
      <c r="W13" s="186"/>
      <c r="X13" s="187">
        <f>IF(K8=0,0,T10/T13)</f>
        <v>682</v>
      </c>
      <c r="Y13" s="60" t="s">
        <v>6</v>
      </c>
      <c r="Z13" s="163"/>
      <c r="AA13" s="4"/>
      <c r="AB13" s="4"/>
      <c r="AC13" s="503" t="s">
        <v>41</v>
      </c>
      <c r="AD13" s="505" t="str">
        <f>AM24</f>
        <v>OK</v>
      </c>
      <c r="AE13" s="74"/>
      <c r="AF13" s="229"/>
      <c r="AG13" s="4"/>
      <c r="AH13" s="485">
        <f>AH15+AH25+AH35+AH45+AH55+AH65+AH75+AH104+AH114+AH124+AH134+AH144+AH154+AH164+AH192+AH202+AH212+AH222+AH232+AH242+AH252+AH281+AH291+AH301+AH311+AH321+AH331+AH341</f>
        <v>0</v>
      </c>
      <c r="AI13" s="174"/>
      <c r="AJ13" s="174"/>
      <c r="AK13" s="174"/>
      <c r="AL13" s="174"/>
      <c r="AM13" s="174"/>
      <c r="AN13" s="174"/>
      <c r="AO13" s="1528" t="s">
        <v>247</v>
      </c>
      <c r="AP13" s="1528"/>
      <c r="AQ13" s="482"/>
      <c r="AR13" s="482"/>
      <c r="AS13" s="174"/>
      <c r="AT13" s="1475" t="s">
        <v>240</v>
      </c>
      <c r="AU13" s="1475"/>
      <c r="AV13" s="377"/>
      <c r="AW13" s="377"/>
      <c r="AX13" s="376"/>
      <c r="AY13" s="1496" t="s">
        <v>240</v>
      </c>
      <c r="AZ13" s="1497"/>
      <c r="BA13" s="401"/>
      <c r="BB13" s="402"/>
      <c r="BC13" s="376"/>
      <c r="BD13" s="441"/>
      <c r="BE13" s="442"/>
      <c r="BF13" s="443"/>
      <c r="BG13" s="443"/>
      <c r="BH13" s="444"/>
      <c r="BI13" s="443"/>
      <c r="BJ13" s="442"/>
      <c r="BK13" s="443"/>
      <c r="BL13" s="443"/>
      <c r="BM13" s="444"/>
      <c r="BN13" s="443"/>
      <c r="BO13" s="442"/>
      <c r="BP13" s="443"/>
      <c r="BQ13" s="456"/>
      <c r="BR13" s="12"/>
      <c r="BS13" s="12"/>
      <c r="BT13" s="12"/>
      <c r="BU13" s="12"/>
      <c r="BV13" s="12"/>
      <c r="BW13" s="12"/>
      <c r="BX13" s="4"/>
      <c r="BY13" s="164"/>
      <c r="BZ13" s="26"/>
      <c r="CA13" s="26"/>
      <c r="CB13" s="26"/>
      <c r="CC13" s="4"/>
      <c r="CD13" s="184"/>
      <c r="CE13" s="26"/>
      <c r="CF13" s="4"/>
      <c r="CG13" s="4"/>
      <c r="CH13" s="4"/>
      <c r="CI13" s="13"/>
      <c r="CK13" s="279"/>
      <c r="CL13" s="275"/>
      <c r="CM13" s="295" t="s">
        <v>44</v>
      </c>
      <c r="CN13" s="296"/>
      <c r="CP13" s="297"/>
      <c r="CR13" s="56"/>
    </row>
    <row r="14" spans="1:96" ht="20.25" customHeight="1">
      <c r="A14" s="68"/>
      <c r="B14" s="68"/>
      <c r="C14" s="68"/>
      <c r="E14" s="69"/>
      <c r="J14" s="9"/>
      <c r="K14" s="18"/>
      <c r="Q14" s="70"/>
      <c r="R14" s="69"/>
      <c r="S14" s="68"/>
      <c r="T14" s="1364" t="s">
        <v>74</v>
      </c>
      <c r="U14" s="1364"/>
      <c r="V14" s="1364"/>
      <c r="W14" s="1364"/>
      <c r="X14" s="1364"/>
      <c r="Y14" s="1364"/>
      <c r="Z14" s="1364"/>
      <c r="AA14" s="71"/>
      <c r="AB14" s="71"/>
      <c r="AC14" s="503" t="s">
        <v>42</v>
      </c>
      <c r="AD14" s="505" t="str">
        <f>AM25</f>
        <v>OK</v>
      </c>
      <c r="AE14" s="71"/>
      <c r="AF14" s="230"/>
      <c r="AG14" s="71"/>
      <c r="AH14" s="4"/>
      <c r="AI14" s="170"/>
      <c r="AJ14" s="1529" t="s">
        <v>267</v>
      </c>
      <c r="AK14" s="1530"/>
      <c r="AL14" s="1530"/>
      <c r="AM14" s="1531"/>
      <c r="AN14" s="170"/>
      <c r="AO14" s="321" t="s">
        <v>51</v>
      </c>
      <c r="AP14" s="343" t="s">
        <v>212</v>
      </c>
      <c r="AQ14" s="1473" t="s">
        <v>211</v>
      </c>
      <c r="AR14" s="1473"/>
      <c r="AS14" s="170"/>
      <c r="AT14" s="1474" t="s">
        <v>430</v>
      </c>
      <c r="AU14" s="1474"/>
      <c r="AV14" s="1474"/>
      <c r="AW14" s="1474"/>
      <c r="AX14" s="376"/>
      <c r="AY14" s="403" t="s">
        <v>254</v>
      </c>
      <c r="AZ14" s="1498" t="s">
        <v>255</v>
      </c>
      <c r="BA14" s="1498"/>
      <c r="BB14" s="1499"/>
      <c r="BC14" s="376"/>
      <c r="BD14" s="1426" t="s">
        <v>256</v>
      </c>
      <c r="BE14" s="1427"/>
      <c r="BF14" s="1427"/>
      <c r="BG14" s="1427"/>
      <c r="BH14" s="12"/>
      <c r="BI14" s="437" t="s">
        <v>259</v>
      </c>
      <c r="BJ14" s="1438" t="s">
        <v>260</v>
      </c>
      <c r="BK14" s="1438"/>
      <c r="BL14" s="1438"/>
      <c r="BM14" s="12"/>
      <c r="BN14" s="12"/>
      <c r="BO14" s="143" t="s">
        <v>126</v>
      </c>
      <c r="BP14" s="12" t="s">
        <v>88</v>
      </c>
      <c r="BQ14" s="446"/>
      <c r="BR14" s="12"/>
      <c r="BS14" s="12"/>
      <c r="BT14" s="12"/>
      <c r="BU14" s="12"/>
      <c r="BV14" s="12"/>
      <c r="BW14" s="12"/>
      <c r="BX14" s="4"/>
      <c r="BY14" s="4"/>
      <c r="BZ14" s="4"/>
      <c r="CA14" s="4"/>
      <c r="CB14" s="4"/>
      <c r="CC14" s="4"/>
      <c r="CF14" s="586" t="s">
        <v>353</v>
      </c>
      <c r="CI14" s="13"/>
      <c r="CK14" s="278"/>
      <c r="CL14" s="280" t="s">
        <v>75</v>
      </c>
      <c r="CM14" s="29">
        <f>IF($AH$13&gt;0,0,L87+L176+L264+L353)</f>
        <v>21400</v>
      </c>
      <c r="CN14" s="283"/>
      <c r="CP14" s="292"/>
      <c r="CR14" s="56"/>
    </row>
    <row r="15" spans="1:96" ht="18" customHeight="1">
      <c r="A15" s="194" t="s">
        <v>127</v>
      </c>
      <c r="B15" s="1396">
        <f>入力画面!C12</f>
        <v>1</v>
      </c>
      <c r="C15" s="1396"/>
      <c r="D15" s="1396"/>
      <c r="E15" s="196" t="s">
        <v>11</v>
      </c>
      <c r="F15" s="1398" t="s">
        <v>57</v>
      </c>
      <c r="G15" s="1398"/>
      <c r="H15" s="1398"/>
      <c r="I15" s="1380">
        <f>IF(入力画面!I14&gt;0,1,0)</f>
        <v>0</v>
      </c>
      <c r="J15" s="1381"/>
      <c r="K15" s="1515">
        <f>IF(H20=0,0,IF($K$8=0, "加入月が未入力です!！",IF($L$87=$A$87,"限度超過額に達しているため計算不可能!!",IF(U17-U16=U18,"エラー名前を入力されているが加入月未入力!！",IF(H20&gt;K17,"加入月未入力エラー!！",0)))))</f>
        <v>0</v>
      </c>
      <c r="L15" s="1516"/>
      <c r="M15" s="1516"/>
      <c r="N15" s="1516"/>
      <c r="O15" s="1516"/>
      <c r="P15" s="1516"/>
      <c r="Q15" s="1516"/>
      <c r="R15" s="1516"/>
      <c r="S15" s="1517"/>
      <c r="T15" s="195" t="s">
        <v>47</v>
      </c>
      <c r="U15" s="1417" t="str">
        <f>IF(U20&gt;0,"医療分",0)</f>
        <v>医療分</v>
      </c>
      <c r="V15" s="1418"/>
      <c r="W15" s="1419" t="s">
        <v>46</v>
      </c>
      <c r="X15" s="1278"/>
      <c r="Y15" s="1278"/>
      <c r="Z15" s="1279"/>
      <c r="AA15" s="73"/>
      <c r="AB15" s="73"/>
      <c r="AC15" s="504" t="s">
        <v>117</v>
      </c>
      <c r="AD15" s="501" t="str">
        <f>AM26</f>
        <v>OK</v>
      </c>
      <c r="AE15" s="73"/>
      <c r="AF15" s="236" t="s">
        <v>117</v>
      </c>
      <c r="AG15" s="73"/>
      <c r="AH15" s="274">
        <f>IF(K17=0,0,IF(K17&lt;12,1,0))</f>
        <v>0</v>
      </c>
      <c r="AI15" s="175"/>
      <c r="AJ15" s="1532"/>
      <c r="AK15" s="1533"/>
      <c r="AL15" s="1533"/>
      <c r="AM15" s="1534"/>
      <c r="AN15" s="366" t="s">
        <v>51</v>
      </c>
      <c r="AO15" s="1553" t="s">
        <v>46</v>
      </c>
      <c r="AP15" s="1554"/>
      <c r="AQ15" s="1478">
        <f>IF(R17+R20=0,0,IF(K18&gt;K17,"期割がアンマッチ使用禁止↓",0))</f>
        <v>0</v>
      </c>
      <c r="AR15" s="1479"/>
      <c r="AS15" s="175"/>
      <c r="AT15" s="1494" t="s">
        <v>46</v>
      </c>
      <c r="AU15" s="1477"/>
      <c r="AV15" s="1491"/>
      <c r="AW15" s="1493"/>
      <c r="AX15" s="376"/>
      <c r="AY15" s="1476" t="s">
        <v>46</v>
      </c>
      <c r="AZ15" s="1477"/>
      <c r="BA15" s="1491">
        <f>IF($R$17+$R20=0,0,IF($K$18&gt;$K$17,"期割がアンマッチ使用禁止↓",0))</f>
        <v>0</v>
      </c>
      <c r="BB15" s="1492"/>
      <c r="BC15" s="376"/>
      <c r="BD15" s="1435" t="s">
        <v>46</v>
      </c>
      <c r="BE15" s="1434"/>
      <c r="BF15" s="1436" t="s">
        <v>128</v>
      </c>
      <c r="BG15" s="1437"/>
      <c r="BH15" s="12"/>
      <c r="BI15" s="1253" t="s">
        <v>89</v>
      </c>
      <c r="BJ15" s="1434"/>
      <c r="BK15" s="438"/>
      <c r="BL15" s="439"/>
      <c r="BM15" s="12"/>
      <c r="BN15" s="1253" t="s">
        <v>46</v>
      </c>
      <c r="BO15" s="1434"/>
      <c r="BP15" s="1431"/>
      <c r="BQ15" s="1432"/>
      <c r="BR15" s="12"/>
      <c r="BS15" s="12"/>
      <c r="BT15" s="12"/>
      <c r="BU15" s="74"/>
      <c r="BV15" s="74"/>
      <c r="BW15" s="12"/>
      <c r="BX15" s="4"/>
      <c r="BY15" s="4"/>
      <c r="BZ15" s="4"/>
      <c r="CA15" s="4"/>
      <c r="CB15" s="4"/>
      <c r="CC15" s="4"/>
      <c r="CD15" s="4"/>
      <c r="CE15" s="4"/>
      <c r="CF15" s="583">
        <v>1</v>
      </c>
      <c r="CG15" s="583">
        <f>ROUNDDOWN($CE$10/12*CF15,-2)</f>
        <v>55800</v>
      </c>
      <c r="CH15" s="4"/>
      <c r="CI15" s="13"/>
      <c r="CK15" s="278"/>
      <c r="CL15" s="281" t="s">
        <v>185</v>
      </c>
      <c r="CM15" s="286">
        <f>CM14-(SUM(CM16:CM24))</f>
        <v>2500</v>
      </c>
      <c r="CN15" s="278"/>
      <c r="CP15" s="292"/>
      <c r="CR15" s="56"/>
    </row>
    <row r="16" spans="1:96" ht="18" customHeight="1">
      <c r="A16" s="165"/>
      <c r="B16" s="12"/>
      <c r="C16" s="75" t="s">
        <v>33</v>
      </c>
      <c r="D16" s="12"/>
      <c r="E16" s="12"/>
      <c r="F16" s="1394" t="s">
        <v>433</v>
      </c>
      <c r="G16" s="1394"/>
      <c r="H16" s="1394"/>
      <c r="I16" s="1380">
        <f>IF(入力画面!I15&gt;0,1,0)</f>
        <v>0</v>
      </c>
      <c r="J16" s="1381"/>
      <c r="K16" s="76" t="s">
        <v>9</v>
      </c>
      <c r="L16" s="12"/>
      <c r="M16" s="1551"/>
      <c r="N16" s="1551"/>
      <c r="O16" s="1551"/>
      <c r="P16" s="1551"/>
      <c r="Q16" s="1551"/>
      <c r="R16" s="1551"/>
      <c r="S16" s="1552"/>
      <c r="T16" s="77" t="s">
        <v>30</v>
      </c>
      <c r="U16" s="78">
        <f>R17+R20</f>
        <v>7810</v>
      </c>
      <c r="V16" s="79" t="s">
        <v>6</v>
      </c>
      <c r="W16" s="80" t="s">
        <v>34</v>
      </c>
      <c r="X16" s="29">
        <f>IF($AH$13&gt;0,0,IF($AG$2&gt;0,"限度超過",X5-(X26+X36+X46+X56+X66+X76)))</f>
        <v>1857</v>
      </c>
      <c r="Y16" s="80" t="s">
        <v>39</v>
      </c>
      <c r="Z16" s="31">
        <f>IF($AH$13&gt;0,0,IF($AG$2&gt;0,"限度超過",Z5-(Z26+Z36+Z46+Z56+Z66+Z76)))</f>
        <v>1560</v>
      </c>
      <c r="AA16" s="26"/>
      <c r="AB16" s="26"/>
      <c r="AC16" s="498"/>
      <c r="AD16" s="26"/>
      <c r="AE16" s="486"/>
      <c r="AF16" s="217">
        <f>AF17+AF20+AF23</f>
        <v>7810</v>
      </c>
      <c r="AG16" s="26"/>
      <c r="AH16" s="26"/>
      <c r="AI16" s="173"/>
      <c r="AJ16" s="22" t="s">
        <v>34</v>
      </c>
      <c r="AK16" s="23">
        <f>IF($AG$2&gt;0,0,X16+X26+X36+X46+X56+X66+X76)</f>
        <v>1857</v>
      </c>
      <c r="AL16" s="473" t="s">
        <v>39</v>
      </c>
      <c r="AM16" s="474">
        <f>IF($AG$2&gt;0,0,Z16+Z26+Z36+Z46+Z56+Z66+Z76)</f>
        <v>1560</v>
      </c>
      <c r="AN16" s="174"/>
      <c r="AO16" s="322" t="s">
        <v>34</v>
      </c>
      <c r="AP16" s="323">
        <f>AR20-(AP17+AP18+AP19+AP20+AP21+AR16+AR17+AR18+AR19)</f>
        <v>2500</v>
      </c>
      <c r="AQ16" s="324" t="s">
        <v>39</v>
      </c>
      <c r="AR16" s="355">
        <f>ROUNDDOWN(AR20/10,-2)</f>
        <v>2100</v>
      </c>
      <c r="AS16" s="179"/>
      <c r="AT16" s="313" t="s">
        <v>34</v>
      </c>
      <c r="AU16" s="374">
        <f>IF($AG$2&gt;0,"限度超過",AP16-AZ105-AZ193-AZ282)</f>
        <v>1857</v>
      </c>
      <c r="AV16" s="311" t="s">
        <v>39</v>
      </c>
      <c r="AW16" s="375">
        <f>IF($AG$2&gt;0,"限度超過",AR16-BB105-BB193-BB282)</f>
        <v>1560</v>
      </c>
      <c r="AX16" s="376"/>
      <c r="AY16" s="404" t="s">
        <v>34</v>
      </c>
      <c r="AZ16" s="310">
        <f>AU16</f>
        <v>1857</v>
      </c>
      <c r="BA16" s="311" t="s">
        <v>39</v>
      </c>
      <c r="BB16" s="405">
        <f>AW16</f>
        <v>1560</v>
      </c>
      <c r="BC16" s="376"/>
      <c r="BD16" s="447" t="s">
        <v>34</v>
      </c>
      <c r="BE16" s="81">
        <f t="shared" ref="BE16:BE21" si="3">IF($A$87=$L$87,"限度超過",X5-(AZ16+AZ26+AZ36+AZ46+AZ56+AZ66+AZ76))</f>
        <v>0</v>
      </c>
      <c r="BF16" s="80" t="s">
        <v>39</v>
      </c>
      <c r="BG16" s="29">
        <f>IF($A$87=$L$87,"限度超過",Z5-(BB16+BB26+BB36+BB46+BB56+BB66+BB76))</f>
        <v>0</v>
      </c>
      <c r="BH16" s="12"/>
      <c r="BI16" s="80" t="s">
        <v>34</v>
      </c>
      <c r="BJ16" s="29">
        <f t="shared" ref="BJ16:BJ21" si="4">IF($A$87=$L$87,"限度超過",IF(BE16=0,0,BE16/$S$5))</f>
        <v>0</v>
      </c>
      <c r="BK16" s="80" t="s">
        <v>39</v>
      </c>
      <c r="BL16" s="29">
        <f>IF($A$87=$L$87,"限度超過",IF(BG16=0,0,BG16/$S$5))</f>
        <v>0</v>
      </c>
      <c r="BM16" s="12"/>
      <c r="BN16" s="80" t="s">
        <v>34</v>
      </c>
      <c r="BO16" s="29">
        <f t="shared" ref="BO16:BO21" si="5">IF($A$87=$L$87,"限度超過",IF($S$5&lt;=1,BE16,BE16-(BO26+BO36+BO46+BO56+BO66+BO76)))</f>
        <v>0</v>
      </c>
      <c r="BP16" s="80" t="s">
        <v>39</v>
      </c>
      <c r="BQ16" s="457">
        <f>IF($A$87=$L$87,"限度超過",IF($S$5&lt;=1,BG16,BG16-(BQ26+BQ36+BQ46+BQ56+BQ66+BQ76)))</f>
        <v>0</v>
      </c>
      <c r="BR16" s="12"/>
      <c r="BS16" s="12"/>
      <c r="BT16" s="12"/>
      <c r="BU16" s="83"/>
      <c r="BV16" s="83"/>
      <c r="BW16" s="12"/>
      <c r="BX16" s="32"/>
      <c r="BY16" s="33" t="str">
        <f>CE6</f>
        <v>料率</v>
      </c>
      <c r="BZ16" s="33">
        <f>CF6</f>
        <v>7</v>
      </c>
      <c r="CA16" s="33">
        <f>CG6</f>
        <v>5</v>
      </c>
      <c r="CB16" s="33">
        <f>CH6</f>
        <v>2</v>
      </c>
      <c r="CC16" s="576" t="s">
        <v>341</v>
      </c>
      <c r="CD16" s="4"/>
      <c r="CE16" s="74"/>
      <c r="CF16" s="585">
        <v>2</v>
      </c>
      <c r="CG16" s="583">
        <f t="shared" ref="CG16:CG25" si="6">ROUNDDOWN($CE$10/12*CF16,-2)</f>
        <v>111600</v>
      </c>
      <c r="CH16" s="84"/>
      <c r="CI16" s="13"/>
      <c r="CK16" s="278"/>
      <c r="CL16" s="281" t="s">
        <v>186</v>
      </c>
      <c r="CM16" s="286">
        <f>ROUNDDOWN($CM$14/10,-2)</f>
        <v>2100</v>
      </c>
      <c r="CN16" s="278"/>
      <c r="CP16" s="292"/>
      <c r="CR16" s="56"/>
    </row>
    <row r="17" spans="1:96" ht="18" customHeight="1">
      <c r="A17" s="1378" t="s">
        <v>0</v>
      </c>
      <c r="B17" s="1556" t="s">
        <v>129</v>
      </c>
      <c r="C17" s="1382">
        <f>入力画面!R14</f>
        <v>0</v>
      </c>
      <c r="D17" s="1010" t="s">
        <v>58</v>
      </c>
      <c r="E17" s="1389">
        <f>IF(H20&gt;0,$CE$11, 0)</f>
        <v>430000</v>
      </c>
      <c r="F17" s="1395" t="s">
        <v>22</v>
      </c>
      <c r="G17" s="1010" t="s">
        <v>59</v>
      </c>
      <c r="H17" s="85">
        <f>IF(H20&gt;0,$CE$7,0)</f>
        <v>8.98</v>
      </c>
      <c r="I17" s="1385" t="s">
        <v>22</v>
      </c>
      <c r="J17" s="1010" t="s">
        <v>59</v>
      </c>
      <c r="K17" s="51">
        <f>IF(入力画面!V14&gt;=1,入力画面!W14,入力画面!I13)</f>
        <v>12</v>
      </c>
      <c r="L17" s="52" t="s">
        <v>5</v>
      </c>
      <c r="M17" s="1395" t="s">
        <v>371</v>
      </c>
      <c r="N17" s="1527"/>
      <c r="O17" s="86"/>
      <c r="P17" s="604"/>
      <c r="Q17" s="604"/>
      <c r="R17" s="1391">
        <f>ROUNDDOWN(IF(((C17-E17)*H17/H18)*K17/K18&lt;0,0,((C17-E17)*H17/H18)*K17/K18),0)</f>
        <v>0</v>
      </c>
      <c r="S17" s="1524" t="s">
        <v>6</v>
      </c>
      <c r="T17" s="72" t="s">
        <v>1</v>
      </c>
      <c r="U17" s="105">
        <f>T10-(U27+U37+U47+U57+U67+U77)</f>
        <v>8180</v>
      </c>
      <c r="V17" s="88" t="s">
        <v>6</v>
      </c>
      <c r="W17" s="30" t="s">
        <v>35</v>
      </c>
      <c r="X17" s="29">
        <f t="shared" ref="X17:Z21" si="7">IF($AH$13&gt;0,0,IF($AG$2&gt;0,"限度超過",X6-(X27+X37+X47+X57+X67+X77)))</f>
        <v>1560</v>
      </c>
      <c r="Y17" s="30" t="s">
        <v>40</v>
      </c>
      <c r="Z17" s="31">
        <f t="shared" si="7"/>
        <v>1561</v>
      </c>
      <c r="AA17" s="26"/>
      <c r="AB17" s="26"/>
      <c r="AC17" s="498"/>
      <c r="AD17" s="26"/>
      <c r="AE17" s="486"/>
      <c r="AF17" s="1416">
        <f>ROUNDDOWN(IF(((C17-E17)*H17/H18)&lt;0,0,((C17-E17)*H17/H18)),0)</f>
        <v>0</v>
      </c>
      <c r="AG17" s="26"/>
      <c r="AH17" s="26"/>
      <c r="AI17" s="173"/>
      <c r="AJ17" s="28" t="s">
        <v>35</v>
      </c>
      <c r="AK17" s="29">
        <f t="shared" ref="AK17:AM20" si="8">IF($AG$2&gt;0,0,X17+X27+X37+X47+X57+X67+X77)</f>
        <v>1560</v>
      </c>
      <c r="AL17" s="475" t="s">
        <v>40</v>
      </c>
      <c r="AM17" s="476">
        <f t="shared" si="8"/>
        <v>1561</v>
      </c>
      <c r="AN17" s="175"/>
      <c r="AO17" s="325" t="s">
        <v>35</v>
      </c>
      <c r="AP17" s="323">
        <f>ROUNDDOWN(AR20/10,-2)</f>
        <v>2100</v>
      </c>
      <c r="AQ17" s="324" t="s">
        <v>40</v>
      </c>
      <c r="AR17" s="355">
        <f>ROUNDDOWN(AR20/10,-2)</f>
        <v>2100</v>
      </c>
      <c r="AS17" s="179"/>
      <c r="AT17" s="313" t="s">
        <v>35</v>
      </c>
      <c r="AU17" s="374">
        <f>IF($AG$2&gt;0,"限度超過",AP17-AZ106-AZ194-AZ283)</f>
        <v>1560</v>
      </c>
      <c r="AV17" s="311" t="s">
        <v>40</v>
      </c>
      <c r="AW17" s="375">
        <f t="shared" ref="AW17:AW19" si="9">IF($AG$2&gt;0,"限度超過",AR17-BB106-BB194-BB283)</f>
        <v>1561</v>
      </c>
      <c r="AX17" s="376"/>
      <c r="AY17" s="406" t="s">
        <v>35</v>
      </c>
      <c r="AZ17" s="310">
        <f t="shared" ref="AZ17:BB22" si="10">AU17</f>
        <v>1560</v>
      </c>
      <c r="BA17" s="311" t="s">
        <v>40</v>
      </c>
      <c r="BB17" s="405">
        <f t="shared" si="10"/>
        <v>1561</v>
      </c>
      <c r="BC17" s="376"/>
      <c r="BD17" s="448" t="s">
        <v>35</v>
      </c>
      <c r="BE17" s="81">
        <f t="shared" si="3"/>
        <v>0</v>
      </c>
      <c r="BF17" s="30" t="s">
        <v>40</v>
      </c>
      <c r="BG17" s="29">
        <f>IF($A$87=$L$87,"限度超過",Z6-(BB17+BB27+BB37+BB47+BB57+BB67+BB77))</f>
        <v>0</v>
      </c>
      <c r="BH17" s="12"/>
      <c r="BI17" s="30" t="s">
        <v>35</v>
      </c>
      <c r="BJ17" s="29">
        <f t="shared" si="4"/>
        <v>0</v>
      </c>
      <c r="BK17" s="30" t="s">
        <v>40</v>
      </c>
      <c r="BL17" s="29">
        <f>IF($A$87=$L$87,"限度超過",IF(BG17=0,0,BG17/$S$5))</f>
        <v>0</v>
      </c>
      <c r="BM17" s="12"/>
      <c r="BN17" s="30" t="s">
        <v>35</v>
      </c>
      <c r="BO17" s="29">
        <f t="shared" si="5"/>
        <v>0</v>
      </c>
      <c r="BP17" s="30" t="s">
        <v>40</v>
      </c>
      <c r="BQ17" s="457">
        <f>IF($A$87=$L$87,"限度超過",IF($S$5&lt;=1,BG17,BG17-(BQ27+BQ37+BQ47+BQ57+BQ67+BQ77)))</f>
        <v>0</v>
      </c>
      <c r="BR17" s="12"/>
      <c r="BS17" s="12"/>
      <c r="BT17" s="12"/>
      <c r="BU17" s="83"/>
      <c r="BV17" s="83"/>
      <c r="BW17" s="12"/>
      <c r="BX17" s="32" t="s">
        <v>17</v>
      </c>
      <c r="BY17" s="44">
        <v>0</v>
      </c>
      <c r="BZ17" s="45">
        <f>$CF$8</f>
        <v>18250</v>
      </c>
      <c r="CA17" s="45">
        <f>$CG$8</f>
        <v>13030</v>
      </c>
      <c r="CB17" s="45">
        <f>$CH$8</f>
        <v>5220</v>
      </c>
      <c r="CC17" s="576"/>
      <c r="CD17" s="4"/>
      <c r="CE17" s="89"/>
      <c r="CF17" s="583">
        <v>3</v>
      </c>
      <c r="CG17" s="583">
        <f t="shared" si="6"/>
        <v>167500</v>
      </c>
      <c r="CH17" s="4"/>
      <c r="CI17" s="13"/>
      <c r="CK17" s="278"/>
      <c r="CL17" s="281" t="s">
        <v>187</v>
      </c>
      <c r="CM17" s="286">
        <f t="shared" ref="CM17:CM24" si="11">ROUNDDOWN($CM$14/10,-2)</f>
        <v>2100</v>
      </c>
      <c r="CN17" s="278"/>
      <c r="CP17" s="292"/>
      <c r="CR17" s="308"/>
    </row>
    <row r="18" spans="1:96" ht="18" customHeight="1">
      <c r="A18" s="1378"/>
      <c r="B18" s="1556"/>
      <c r="C18" s="1382"/>
      <c r="D18" s="1010"/>
      <c r="E18" s="1389"/>
      <c r="F18" s="1395"/>
      <c r="G18" s="1010"/>
      <c r="H18" s="39">
        <v>100</v>
      </c>
      <c r="I18" s="1385"/>
      <c r="J18" s="1010"/>
      <c r="K18" s="55">
        <v>12</v>
      </c>
      <c r="L18" s="12" t="s">
        <v>5</v>
      </c>
      <c r="M18" s="1395"/>
      <c r="N18" s="1527"/>
      <c r="O18" s="86"/>
      <c r="P18" s="604"/>
      <c r="Q18" s="604"/>
      <c r="R18" s="1391"/>
      <c r="S18" s="1524"/>
      <c r="T18" s="72" t="s">
        <v>29</v>
      </c>
      <c r="U18" s="87">
        <f>U16+U17</f>
        <v>15990</v>
      </c>
      <c r="V18" s="88" t="s">
        <v>6</v>
      </c>
      <c r="W18" s="30" t="s">
        <v>36</v>
      </c>
      <c r="X18" s="29">
        <f t="shared" si="7"/>
        <v>1560</v>
      </c>
      <c r="Y18" s="30" t="s">
        <v>41</v>
      </c>
      <c r="Z18" s="31">
        <f t="shared" si="7"/>
        <v>1561</v>
      </c>
      <c r="AA18" s="26"/>
      <c r="AB18" s="26"/>
      <c r="AC18" s="498"/>
      <c r="AD18" s="26"/>
      <c r="AE18" s="486"/>
      <c r="AF18" s="1416"/>
      <c r="AG18" s="26"/>
      <c r="AH18" s="26"/>
      <c r="AI18" s="173"/>
      <c r="AJ18" s="28" t="s">
        <v>36</v>
      </c>
      <c r="AK18" s="29">
        <f t="shared" si="8"/>
        <v>1560</v>
      </c>
      <c r="AL18" s="475" t="s">
        <v>41</v>
      </c>
      <c r="AM18" s="476">
        <f t="shared" si="8"/>
        <v>1561</v>
      </c>
      <c r="AN18" s="173"/>
      <c r="AO18" s="325" t="s">
        <v>36</v>
      </c>
      <c r="AP18" s="323">
        <f>ROUNDDOWN(AR20/10,-2)</f>
        <v>2100</v>
      </c>
      <c r="AQ18" s="324" t="s">
        <v>41</v>
      </c>
      <c r="AR18" s="355">
        <f>ROUNDDOWN(AR20/10,-2)</f>
        <v>2100</v>
      </c>
      <c r="AS18" s="173"/>
      <c r="AT18" s="313" t="s">
        <v>36</v>
      </c>
      <c r="AU18" s="374">
        <f t="shared" ref="AU18:AU20" si="12">IF($AG$2&gt;0,"限度超過",AP18-AZ107-AZ195-AZ284)</f>
        <v>1560</v>
      </c>
      <c r="AV18" s="311" t="s">
        <v>41</v>
      </c>
      <c r="AW18" s="375">
        <f t="shared" si="9"/>
        <v>1561</v>
      </c>
      <c r="AX18" s="376"/>
      <c r="AY18" s="406" t="s">
        <v>36</v>
      </c>
      <c r="AZ18" s="310">
        <f t="shared" si="10"/>
        <v>1560</v>
      </c>
      <c r="BA18" s="311" t="s">
        <v>41</v>
      </c>
      <c r="BB18" s="405">
        <f t="shared" si="10"/>
        <v>1561</v>
      </c>
      <c r="BC18" s="376"/>
      <c r="BD18" s="448" t="s">
        <v>36</v>
      </c>
      <c r="BE18" s="81">
        <f t="shared" si="3"/>
        <v>0</v>
      </c>
      <c r="BF18" s="30" t="s">
        <v>41</v>
      </c>
      <c r="BG18" s="29">
        <f>IF($A$87=$L$87,"限度超過",Z7-(BB18+BB28+BB38+BB48+BB58+BB68+BB78))</f>
        <v>0</v>
      </c>
      <c r="BH18" s="12"/>
      <c r="BI18" s="30" t="s">
        <v>36</v>
      </c>
      <c r="BJ18" s="29">
        <f t="shared" si="4"/>
        <v>0</v>
      </c>
      <c r="BK18" s="30" t="s">
        <v>41</v>
      </c>
      <c r="BL18" s="29">
        <f>IF($A$87=$L$87,"限度超過",IF(BG18=0,0,BG18/$S$5))</f>
        <v>0</v>
      </c>
      <c r="BM18" s="12"/>
      <c r="BN18" s="30" t="s">
        <v>36</v>
      </c>
      <c r="BO18" s="29">
        <f t="shared" si="5"/>
        <v>0</v>
      </c>
      <c r="BP18" s="30" t="s">
        <v>41</v>
      </c>
      <c r="BQ18" s="457">
        <f>IF($A$87=$L$87,"限度超過",IF($S$5&lt;=1,BG18,BG18-(BQ28+BQ38+BQ48+BQ58+BQ68+BQ78)))</f>
        <v>0</v>
      </c>
      <c r="BR18" s="12"/>
      <c r="BS18" s="12"/>
      <c r="BT18" s="12"/>
      <c r="BU18" s="83"/>
      <c r="BV18" s="83"/>
      <c r="BW18" s="12"/>
      <c r="BX18" s="32" t="s">
        <v>8</v>
      </c>
      <c r="BY18" s="45">
        <f>K20</f>
        <v>12</v>
      </c>
      <c r="BZ18" s="45">
        <f t="shared" ref="BZ18:CB20" si="13">BY18</f>
        <v>12</v>
      </c>
      <c r="CA18" s="45">
        <f t="shared" si="13"/>
        <v>12</v>
      </c>
      <c r="CB18" s="45">
        <f t="shared" si="13"/>
        <v>12</v>
      </c>
      <c r="CC18" s="576">
        <f>CB18</f>
        <v>12</v>
      </c>
      <c r="CD18" s="4"/>
      <c r="CE18" s="90"/>
      <c r="CF18" s="584">
        <v>4</v>
      </c>
      <c r="CG18" s="583">
        <f t="shared" si="6"/>
        <v>223300</v>
      </c>
      <c r="CH18" s="26"/>
      <c r="CI18" s="13"/>
      <c r="CK18" s="278"/>
      <c r="CL18" s="281" t="s">
        <v>188</v>
      </c>
      <c r="CM18" s="286">
        <f t="shared" si="11"/>
        <v>2100</v>
      </c>
      <c r="CN18" s="278"/>
      <c r="CP18" s="292"/>
      <c r="CQ18" s="292"/>
      <c r="CR18" s="308"/>
    </row>
    <row r="19" spans="1:96" ht="18" customHeight="1">
      <c r="A19" s="165"/>
      <c r="B19" s="12"/>
      <c r="C19" s="50"/>
      <c r="D19" s="12"/>
      <c r="E19" s="12"/>
      <c r="F19" s="12"/>
      <c r="G19" s="12"/>
      <c r="H19" s="91"/>
      <c r="I19" s="75"/>
      <c r="J19" s="75"/>
      <c r="K19" s="92"/>
      <c r="L19" s="75"/>
      <c r="M19" s="93"/>
      <c r="N19" s="578">
        <f>IF(入力画面!E12=1,"未就学児",0)</f>
        <v>0</v>
      </c>
      <c r="O19" s="42">
        <f>IF(H20=0,0,$D$5)</f>
        <v>7</v>
      </c>
      <c r="P19" s="463" t="str">
        <f>IF(O20=0,0,"軽減額")</f>
        <v>軽減額</v>
      </c>
      <c r="Q19" s="577"/>
      <c r="S19" s="49"/>
      <c r="T19" s="96" t="s">
        <v>31</v>
      </c>
      <c r="U19" s="87">
        <f>ROUNDDOWN(U18,-2)</f>
        <v>15900</v>
      </c>
      <c r="V19" s="88" t="s">
        <v>6</v>
      </c>
      <c r="W19" s="30" t="s">
        <v>43</v>
      </c>
      <c r="X19" s="29">
        <f t="shared" si="7"/>
        <v>1560</v>
      </c>
      <c r="Y19" s="30" t="s">
        <v>42</v>
      </c>
      <c r="Z19" s="31">
        <f>IF($AH$13&gt;0,0,IF($AG$2&gt;0,"限度超過",Z8-(Z29+Z39+Z49+Z59+Z69+Z79)))</f>
        <v>1561</v>
      </c>
      <c r="AA19" s="26"/>
      <c r="AB19" s="26"/>
      <c r="AC19" s="498"/>
      <c r="AD19" s="26"/>
      <c r="AE19" s="497" t="str">
        <f>IF($AH$13&gt;0,"－",IF($AG$2&gt;0,"限度超過",IF(U20=Z20,"OK","ｱﾝﾏｯﾁ")))</f>
        <v>OK</v>
      </c>
      <c r="AF19" s="496"/>
      <c r="AG19" s="26"/>
      <c r="AI19" s="173"/>
      <c r="AJ19" s="28" t="s">
        <v>43</v>
      </c>
      <c r="AK19" s="29">
        <f t="shared" si="8"/>
        <v>1560</v>
      </c>
      <c r="AL19" s="475" t="s">
        <v>42</v>
      </c>
      <c r="AM19" s="476">
        <f t="shared" si="8"/>
        <v>1561</v>
      </c>
      <c r="AN19" s="173"/>
      <c r="AO19" s="325" t="s">
        <v>43</v>
      </c>
      <c r="AP19" s="323">
        <f>ROUNDDOWN(AR20/10,-2)</f>
        <v>2100</v>
      </c>
      <c r="AQ19" s="324" t="s">
        <v>42</v>
      </c>
      <c r="AR19" s="355">
        <f>ROUNDDOWN(AR20/10,-2)</f>
        <v>2100</v>
      </c>
      <c r="AS19" s="173"/>
      <c r="AT19" s="313" t="s">
        <v>43</v>
      </c>
      <c r="AU19" s="374">
        <f>IF($AG$2&gt;0,"限度超過",AP19-AZ108-AZ196-AZ285)</f>
        <v>1560</v>
      </c>
      <c r="AV19" s="311" t="s">
        <v>42</v>
      </c>
      <c r="AW19" s="375">
        <f t="shared" si="9"/>
        <v>1561</v>
      </c>
      <c r="AX19" s="376"/>
      <c r="AY19" s="406" t="s">
        <v>43</v>
      </c>
      <c r="AZ19" s="310">
        <f t="shared" si="10"/>
        <v>1560</v>
      </c>
      <c r="BA19" s="311" t="s">
        <v>42</v>
      </c>
      <c r="BB19" s="405">
        <f t="shared" si="10"/>
        <v>1561</v>
      </c>
      <c r="BC19" s="376"/>
      <c r="BD19" s="448" t="s">
        <v>43</v>
      </c>
      <c r="BE19" s="81">
        <f t="shared" si="3"/>
        <v>0</v>
      </c>
      <c r="BF19" s="30" t="s">
        <v>42</v>
      </c>
      <c r="BG19" s="29">
        <f>IF($A$87=$L$87,"限度超過",Z8-(BB19+BB29+BB39+BB49+BB59+BB69+BB79))</f>
        <v>0</v>
      </c>
      <c r="BH19" s="12"/>
      <c r="BI19" s="30" t="s">
        <v>43</v>
      </c>
      <c r="BJ19" s="29">
        <f t="shared" si="4"/>
        <v>0</v>
      </c>
      <c r="BK19" s="30" t="s">
        <v>42</v>
      </c>
      <c r="BL19" s="29">
        <f>IF($A$87=$L$87,"限度超過",IF(BG19=0,0,BG19/$S$5))</f>
        <v>0</v>
      </c>
      <c r="BM19" s="12"/>
      <c r="BN19" s="30" t="s">
        <v>43</v>
      </c>
      <c r="BO19" s="29">
        <f t="shared" si="5"/>
        <v>0</v>
      </c>
      <c r="BP19" s="30" t="s">
        <v>42</v>
      </c>
      <c r="BQ19" s="457">
        <f>IF($A$87=$L$87,"限度超過",IF($S$5&lt;=1,BG19,BG19-(BQ29+BQ39+BQ49+BQ59+BQ69+BQ79)))</f>
        <v>0</v>
      </c>
      <c r="BR19" s="12"/>
      <c r="BS19" s="12"/>
      <c r="BT19" s="12"/>
      <c r="BU19" s="83"/>
      <c r="BV19" s="83"/>
      <c r="BW19" s="12"/>
      <c r="BX19" s="32" t="s">
        <v>25</v>
      </c>
      <c r="BY19" s="45">
        <f>K21</f>
        <v>12</v>
      </c>
      <c r="BZ19" s="45">
        <f t="shared" si="13"/>
        <v>12</v>
      </c>
      <c r="CA19" s="45">
        <f t="shared" si="13"/>
        <v>12</v>
      </c>
      <c r="CB19" s="45">
        <f t="shared" si="13"/>
        <v>12</v>
      </c>
      <c r="CC19" s="576">
        <f>CB19</f>
        <v>12</v>
      </c>
      <c r="CD19" s="4"/>
      <c r="CE19" s="90"/>
      <c r="CF19" s="584">
        <v>5</v>
      </c>
      <c r="CG19" s="583">
        <f t="shared" si="6"/>
        <v>279100</v>
      </c>
      <c r="CH19" s="26"/>
      <c r="CI19" s="13"/>
      <c r="CK19" s="278"/>
      <c r="CL19" s="281" t="s">
        <v>189</v>
      </c>
      <c r="CM19" s="286">
        <f t="shared" si="11"/>
        <v>2100</v>
      </c>
      <c r="CN19" s="278"/>
      <c r="CP19" s="292"/>
      <c r="CQ19" s="292"/>
      <c r="CR19" s="308"/>
    </row>
    <row r="20" spans="1:96" ht="18" customHeight="1">
      <c r="A20" s="1378" t="s">
        <v>10</v>
      </c>
      <c r="B20" s="12"/>
      <c r="C20" s="12"/>
      <c r="D20" s="1379" t="s">
        <v>7</v>
      </c>
      <c r="E20" s="1389">
        <f>IF(H20&gt;0,$CE$8,0)</f>
        <v>26060</v>
      </c>
      <c r="F20" s="97"/>
      <c r="G20" s="1010" t="s">
        <v>59</v>
      </c>
      <c r="H20" s="1390">
        <f>IF(B15=0,0,SUBTOTAL(3,B15))</f>
        <v>1</v>
      </c>
      <c r="I20" s="1385" t="s">
        <v>22</v>
      </c>
      <c r="J20" s="1010" t="s">
        <v>59</v>
      </c>
      <c r="K20" s="51">
        <f>IF(H20&gt;0,K17,0)</f>
        <v>12</v>
      </c>
      <c r="L20" s="52" t="s">
        <v>5</v>
      </c>
      <c r="M20" s="1527" t="s">
        <v>122</v>
      </c>
      <c r="N20" s="1548" t="str">
        <f>IF(O20=0,0,"―")</f>
        <v>―</v>
      </c>
      <c r="O20" s="1525">
        <f>IF(H20=0,0,IF(BY22=0,IF($D$5=7,BZ21,IF($D$5=5,CA21,IF($D$5=2,CB21,CC21))),IF($D$5=7,BZ21+BZ22,IF($D$5=5,CA21+CA22,IF($D$5=2,CB21+CB22,CC21+CC22)))))</f>
        <v>18250</v>
      </c>
      <c r="P20" s="1526"/>
      <c r="Q20" s="1392" t="s">
        <v>130</v>
      </c>
      <c r="R20" s="1391">
        <f>IF(H20&gt;0,IF(K17=0,0,ROUNDDOWN(((E20*H20)*K20/K21)-O20,0)),0)</f>
        <v>7810</v>
      </c>
      <c r="S20" s="1520" t="s">
        <v>6</v>
      </c>
      <c r="T20" s="1537" t="s">
        <v>32</v>
      </c>
      <c r="U20" s="1535">
        <f>IF(L87=A87,"限度超過!",L87-U30-U40-U50-U60-U70-U80)</f>
        <v>15900</v>
      </c>
      <c r="V20" s="1512" t="s">
        <v>6</v>
      </c>
      <c r="W20" s="30" t="s">
        <v>37</v>
      </c>
      <c r="X20" s="29">
        <f t="shared" si="7"/>
        <v>1560</v>
      </c>
      <c r="Y20" s="1313" t="s">
        <v>44</v>
      </c>
      <c r="Z20" s="1420">
        <f>IF($AH$13&gt;0,0,IF($AG$2&gt;0,"限度超過",Z9-(Z30+Z40+Z50+Z60+Z70+Z80)))</f>
        <v>15900</v>
      </c>
      <c r="AA20" s="26"/>
      <c r="AB20" s="26"/>
      <c r="AC20" s="498"/>
      <c r="AD20" s="26"/>
      <c r="AE20" s="497" t="str">
        <f>IF($AG$2&gt;0,"限度超過",IF(X16+X17+X18+X19+X20+X21+Z16+Z17+Z18+Z19=Z20,"OK","エラー"))</f>
        <v>OK</v>
      </c>
      <c r="AF20" s="1521">
        <f>IF(H20&gt;0,IF(K17=0,0,ROUNDDOWN((E20*H20)-O20,0)),0)</f>
        <v>7810</v>
      </c>
      <c r="AG20" s="26"/>
      <c r="AI20" s="173"/>
      <c r="AJ20" s="28" t="s">
        <v>37</v>
      </c>
      <c r="AK20" s="29">
        <f t="shared" si="8"/>
        <v>1560</v>
      </c>
      <c r="AL20" s="1544" t="s">
        <v>44</v>
      </c>
      <c r="AM20" s="1567">
        <f>AK16+AK17+AK18+AK19+AK20+AK21+AM16+AM17+AM18+AM19</f>
        <v>15900</v>
      </c>
      <c r="AN20" s="173"/>
      <c r="AO20" s="325" t="s">
        <v>37</v>
      </c>
      <c r="AP20" s="323">
        <f>ROUNDDOWN(AR20/10,-2)</f>
        <v>2100</v>
      </c>
      <c r="AQ20" s="326" t="s">
        <v>44</v>
      </c>
      <c r="AR20" s="327">
        <f>IF($AG$2&gt;0,0,IF($AH$13&gt;0,0,U20+U109+U197+U286))</f>
        <v>21400</v>
      </c>
      <c r="AS20" s="173"/>
      <c r="AT20" s="313" t="s">
        <v>37</v>
      </c>
      <c r="AU20" s="374">
        <f t="shared" si="12"/>
        <v>1560</v>
      </c>
      <c r="AV20" s="314" t="s">
        <v>44</v>
      </c>
      <c r="AW20" s="312">
        <f>IF($AG$2&gt;0,"限度超過",AU16+AU17+AU18+AU19+AU20+AU21+AW16+AW17+AW18+AW19)</f>
        <v>15900</v>
      </c>
      <c r="AX20" s="376"/>
      <c r="AY20" s="406" t="s">
        <v>37</v>
      </c>
      <c r="AZ20" s="310">
        <f t="shared" si="10"/>
        <v>1560</v>
      </c>
      <c r="BA20" s="314" t="s">
        <v>44</v>
      </c>
      <c r="BB20" s="405">
        <f t="shared" si="10"/>
        <v>15900</v>
      </c>
      <c r="BC20" s="376"/>
      <c r="BD20" s="448" t="s">
        <v>37</v>
      </c>
      <c r="BE20" s="81">
        <f t="shared" si="3"/>
        <v>0</v>
      </c>
      <c r="BF20" s="98" t="s">
        <v>44</v>
      </c>
      <c r="BG20" s="29">
        <f>IF($A$87=$L$87,"限度超過",BE16+BE17+BE18+BE19+BE20+BE21+BG16+BG17+BG18+BG19)</f>
        <v>0</v>
      </c>
      <c r="BH20" s="12"/>
      <c r="BI20" s="30" t="s">
        <v>37</v>
      </c>
      <c r="BJ20" s="29">
        <f t="shared" si="4"/>
        <v>0</v>
      </c>
      <c r="BK20" s="98" t="s">
        <v>44</v>
      </c>
      <c r="BL20" s="29">
        <f>IF($A$87=$L$87,"限度超過",BJ16+BJ17+BJ18+BJ19+BJ20+BJ21+BL16+BL17+BL18+BL19)</f>
        <v>0</v>
      </c>
      <c r="BM20" s="12"/>
      <c r="BN20" s="30" t="s">
        <v>37</v>
      </c>
      <c r="BO20" s="29">
        <f t="shared" si="5"/>
        <v>0</v>
      </c>
      <c r="BP20" s="98" t="s">
        <v>44</v>
      </c>
      <c r="BQ20" s="457">
        <f>IF($A$87=$L$87,"限度超過",BO16+BO17+BO18+BO19+BO20+BO21+BQ16+BQ17+BQ18+BQ19)</f>
        <v>0</v>
      </c>
      <c r="BR20" s="12"/>
      <c r="BS20" s="12"/>
      <c r="BT20" s="12"/>
      <c r="BU20" s="83"/>
      <c r="BV20" s="83"/>
      <c r="BW20" s="12"/>
      <c r="BX20" s="32" t="s">
        <v>26</v>
      </c>
      <c r="BY20" s="26">
        <f>H20</f>
        <v>1</v>
      </c>
      <c r="BZ20" s="99">
        <f t="shared" si="13"/>
        <v>1</v>
      </c>
      <c r="CA20" s="99">
        <f t="shared" si="13"/>
        <v>1</v>
      </c>
      <c r="CB20" s="99">
        <f t="shared" si="13"/>
        <v>1</v>
      </c>
      <c r="CC20" s="576">
        <f>CB20</f>
        <v>1</v>
      </c>
      <c r="CD20" s="4"/>
      <c r="CE20" s="90"/>
      <c r="CF20" s="583">
        <v>6</v>
      </c>
      <c r="CG20" s="583">
        <f t="shared" si="6"/>
        <v>335000</v>
      </c>
      <c r="CH20" s="4"/>
      <c r="CI20" s="13"/>
      <c r="CK20" s="278"/>
      <c r="CL20" s="281" t="s">
        <v>190</v>
      </c>
      <c r="CM20" s="286">
        <f t="shared" si="11"/>
        <v>2100</v>
      </c>
      <c r="CN20" s="278"/>
      <c r="CP20" s="292"/>
      <c r="CQ20" s="292"/>
      <c r="CR20" s="308"/>
    </row>
    <row r="21" spans="1:96" ht="18" customHeight="1">
      <c r="A21" s="1378"/>
      <c r="B21" s="12"/>
      <c r="C21" s="12"/>
      <c r="D21" s="1379"/>
      <c r="E21" s="1389"/>
      <c r="F21" s="12"/>
      <c r="G21" s="1010"/>
      <c r="H21" s="1390"/>
      <c r="I21" s="1385"/>
      <c r="J21" s="1010"/>
      <c r="K21" s="180">
        <f>IF(H20&gt;0,K18,0)</f>
        <v>12</v>
      </c>
      <c r="L21" s="12" t="s">
        <v>5</v>
      </c>
      <c r="M21" s="1527"/>
      <c r="N21" s="1548"/>
      <c r="O21" s="1526"/>
      <c r="P21" s="1526"/>
      <c r="Q21" s="1392"/>
      <c r="R21" s="1391"/>
      <c r="S21" s="1520"/>
      <c r="T21" s="1537"/>
      <c r="U21" s="1536"/>
      <c r="V21" s="1512"/>
      <c r="W21" s="30" t="s">
        <v>38</v>
      </c>
      <c r="X21" s="29">
        <f t="shared" si="7"/>
        <v>1560</v>
      </c>
      <c r="Y21" s="1422"/>
      <c r="Z21" s="1421"/>
      <c r="AA21" s="4"/>
      <c r="AB21" s="4"/>
      <c r="AC21" s="498"/>
      <c r="AD21" s="4"/>
      <c r="AE21" s="74"/>
      <c r="AF21" s="1416"/>
      <c r="AG21" s="4"/>
      <c r="AH21" s="4"/>
      <c r="AI21" s="174"/>
      <c r="AJ21" s="65" t="s">
        <v>38</v>
      </c>
      <c r="AK21" s="66">
        <f>IF($AG$2&gt;0,0,X21+X31+X41+X51+X61+X71+X81)</f>
        <v>1560</v>
      </c>
      <c r="AL21" s="1545"/>
      <c r="AM21" s="1568"/>
      <c r="AN21" s="173"/>
      <c r="AO21" s="325" t="s">
        <v>38</v>
      </c>
      <c r="AP21" s="323">
        <f>ROUNDDOWN(AR20/10,-2)</f>
        <v>2100</v>
      </c>
      <c r="AQ21" s="324"/>
      <c r="AR21" s="328"/>
      <c r="AS21" s="174"/>
      <c r="AT21" s="313" t="s">
        <v>38</v>
      </c>
      <c r="AU21" s="374">
        <f>IF($AG$2&gt;0,"限度超過",AP21-AZ110-AZ198-AZ287)</f>
        <v>1560</v>
      </c>
      <c r="AV21" s="311" t="s">
        <v>75</v>
      </c>
      <c r="AW21" s="329">
        <f>IF($AG$2&gt;0,"限度超過",U20)</f>
        <v>15900</v>
      </c>
      <c r="AX21" s="376"/>
      <c r="AY21" s="406" t="s">
        <v>38</v>
      </c>
      <c r="AZ21" s="310">
        <f t="shared" si="10"/>
        <v>1560</v>
      </c>
      <c r="BA21" s="311"/>
      <c r="BB21" s="407"/>
      <c r="BC21" s="376"/>
      <c r="BD21" s="448" t="s">
        <v>38</v>
      </c>
      <c r="BE21" s="81">
        <f t="shared" si="3"/>
        <v>0</v>
      </c>
      <c r="BF21" s="30"/>
      <c r="BG21" s="100"/>
      <c r="BH21" s="12"/>
      <c r="BI21" s="30" t="s">
        <v>38</v>
      </c>
      <c r="BJ21" s="29">
        <f t="shared" si="4"/>
        <v>0</v>
      </c>
      <c r="BK21" s="30"/>
      <c r="BL21" s="100"/>
      <c r="BM21" s="12"/>
      <c r="BN21" s="30" t="s">
        <v>38</v>
      </c>
      <c r="BO21" s="29">
        <f t="shared" si="5"/>
        <v>0</v>
      </c>
      <c r="BP21" s="30"/>
      <c r="BQ21" s="458"/>
      <c r="BR21" s="12"/>
      <c r="BS21" s="12"/>
      <c r="BT21" s="12"/>
      <c r="BU21" s="4"/>
      <c r="BV21" s="4"/>
      <c r="BW21" s="12"/>
      <c r="BX21" s="67" t="s">
        <v>27</v>
      </c>
      <c r="BY21" s="45">
        <f>IF(BY20&gt;0,ROUNDDOWN(BY17*BY20*BY18/BY19,0),0)</f>
        <v>0</v>
      </c>
      <c r="BZ21" s="45">
        <f>IF(BZ20&gt;0,ROUNDDOWN(BZ17*BZ20*BZ18/BZ19,0),0)</f>
        <v>18250</v>
      </c>
      <c r="CA21" s="45">
        <f>IF(CA20&gt;0,ROUNDDOWN(CA17*CA20*CA18/CA19,0),0)</f>
        <v>13030</v>
      </c>
      <c r="CB21" s="45">
        <f>IF(CB20&gt;0,ROUNDDOWN(CB17*CB20*CB18/CB19,0),0)</f>
        <v>5220</v>
      </c>
      <c r="CC21" s="576">
        <v>0</v>
      </c>
      <c r="CD21" s="74"/>
      <c r="CE21" s="90"/>
      <c r="CF21" s="583">
        <v>7</v>
      </c>
      <c r="CG21" s="583">
        <f t="shared" si="6"/>
        <v>390800</v>
      </c>
      <c r="CH21" s="4"/>
      <c r="CI21" s="13"/>
      <c r="CK21" s="278"/>
      <c r="CL21" s="281" t="s">
        <v>191</v>
      </c>
      <c r="CM21" s="286">
        <f t="shared" si="11"/>
        <v>2100</v>
      </c>
      <c r="CN21" s="278"/>
      <c r="CP21" s="292"/>
      <c r="CQ21" s="292"/>
      <c r="CR21" s="308"/>
    </row>
    <row r="22" spans="1:96" ht="18" customHeight="1">
      <c r="A22" s="200"/>
      <c r="B22" s="75" t="s">
        <v>118</v>
      </c>
      <c r="C22" s="12"/>
      <c r="D22" s="160"/>
      <c r="E22" s="161"/>
      <c r="F22" s="12"/>
      <c r="G22" s="50"/>
      <c r="H22" s="162"/>
      <c r="I22" s="159"/>
      <c r="J22" s="50"/>
      <c r="K22" s="1523" t="s">
        <v>271</v>
      </c>
      <c r="L22" s="1523"/>
      <c r="M22" s="1523"/>
      <c r="N22" s="1523"/>
      <c r="O22" s="1523"/>
      <c r="P22" s="1523"/>
      <c r="Q22" s="156"/>
      <c r="R22" s="157"/>
      <c r="S22" s="49"/>
      <c r="T22" s="50"/>
      <c r="U22" s="1511" t="s">
        <v>272</v>
      </c>
      <c r="V22" s="1511"/>
      <c r="W22" s="1511"/>
      <c r="X22" s="1511"/>
      <c r="Y22" s="1511"/>
      <c r="Z22" s="185"/>
      <c r="AB22" s="4"/>
      <c r="AC22" s="489"/>
      <c r="AD22" s="4"/>
      <c r="AE22" s="74"/>
      <c r="AF22" s="234"/>
      <c r="AG22" s="232"/>
      <c r="AH22" s="4"/>
      <c r="AI22" s="174"/>
      <c r="AJ22" s="22" t="s">
        <v>34</v>
      </c>
      <c r="AK22" s="477" t="str">
        <f>IF(X5=AK16,"OK","エラー")</f>
        <v>OK</v>
      </c>
      <c r="AL22" s="24" t="s">
        <v>39</v>
      </c>
      <c r="AM22" s="478" t="str">
        <f>IF(Z5=AM16,"OK","エラー")</f>
        <v>OK</v>
      </c>
      <c r="AN22" s="173"/>
      <c r="AO22" s="483"/>
      <c r="AP22" s="483"/>
      <c r="AQ22" s="484"/>
      <c r="AR22" s="484"/>
      <c r="AS22" s="174"/>
      <c r="AT22" s="378"/>
      <c r="AU22" s="468">
        <f>IF($AG$2&gt;0,"限度超過",0)</f>
        <v>0</v>
      </c>
      <c r="AV22" s="377"/>
      <c r="AW22" s="379" t="str">
        <f>IF(AW20=AW21,"OK","エラー")</f>
        <v>OK</v>
      </c>
      <c r="AX22" s="376"/>
      <c r="AY22" s="408"/>
      <c r="AZ22" s="315">
        <f t="shared" si="10"/>
        <v>0</v>
      </c>
      <c r="BA22" s="316"/>
      <c r="BB22" s="409"/>
      <c r="BC22" s="376"/>
      <c r="BD22" s="449"/>
      <c r="BF22" s="4" t="s">
        <v>257</v>
      </c>
      <c r="BH22" s="12"/>
      <c r="BM22" s="12"/>
      <c r="BQ22" s="459"/>
      <c r="BR22" s="12"/>
      <c r="BS22" s="12"/>
      <c r="BT22" s="12"/>
      <c r="BU22" s="12"/>
      <c r="BV22" s="12"/>
      <c r="BW22" s="12"/>
      <c r="BX22" s="32" t="s">
        <v>340</v>
      </c>
      <c r="BY22" s="576">
        <f>IF(入力画面!E12=1,1,0)</f>
        <v>0</v>
      </c>
      <c r="BZ22" s="576">
        <f>IF($BY$22=1,ROUNDDOWN(CF12*BZ18/BZ19,0),0)</f>
        <v>0</v>
      </c>
      <c r="CA22" s="576">
        <f>IF($BY$22=1,ROUNDDOWN(CG12*CA18/CA19,0),0)</f>
        <v>0</v>
      </c>
      <c r="CB22" s="576">
        <f>IF($BY$22=1,ROUNDDOWN(CH12*CB18/CB19,0),0)</f>
        <v>0</v>
      </c>
      <c r="CC22" s="576">
        <f>IF($BY$22=1,ROUNDDOWN(CE12*CC18/CC19,0),0)</f>
        <v>0</v>
      </c>
      <c r="CD22" s="4"/>
      <c r="CE22" s="4"/>
      <c r="CF22" s="583">
        <v>8</v>
      </c>
      <c r="CG22" s="583">
        <f t="shared" si="6"/>
        <v>446600</v>
      </c>
      <c r="CH22" s="4"/>
      <c r="CI22" s="13"/>
      <c r="CK22" s="278"/>
      <c r="CL22" s="281" t="s">
        <v>192</v>
      </c>
      <c r="CM22" s="286">
        <f t="shared" si="11"/>
        <v>2100</v>
      </c>
      <c r="CN22" s="278"/>
      <c r="CP22" s="292"/>
      <c r="CQ22" s="292"/>
      <c r="CR22" s="308"/>
    </row>
    <row r="23" spans="1:96" ht="18" customHeight="1">
      <c r="A23" s="58" t="s">
        <v>1</v>
      </c>
      <c r="B23" s="52"/>
      <c r="C23" s="187">
        <f>IF(H20&gt;0,$X$13,0)</f>
        <v>682</v>
      </c>
      <c r="D23" s="201" t="s">
        <v>6</v>
      </c>
      <c r="E23" s="60" t="s">
        <v>131</v>
      </c>
      <c r="F23" s="1377">
        <f>入力画面!I13</f>
        <v>12</v>
      </c>
      <c r="G23" s="1377"/>
      <c r="H23" s="214" t="s">
        <v>5</v>
      </c>
      <c r="I23" s="1388" t="s">
        <v>270</v>
      </c>
      <c r="J23" s="1388"/>
      <c r="K23" s="1377">
        <f>T10-(K33+K43+K53+K63+K73+K83)</f>
        <v>8180</v>
      </c>
      <c r="L23" s="1377"/>
      <c r="M23" s="202" t="s">
        <v>6</v>
      </c>
      <c r="N23" s="202"/>
      <c r="O23" s="203"/>
      <c r="P23" s="203"/>
      <c r="Q23" s="63"/>
      <c r="R23" s="204"/>
      <c r="S23" s="59"/>
      <c r="T23" s="27"/>
      <c r="U23" s="205"/>
      <c r="V23" s="27"/>
      <c r="W23" s="186"/>
      <c r="X23" s="187"/>
      <c r="Y23" s="206"/>
      <c r="Z23" s="163"/>
      <c r="AA23" s="73"/>
      <c r="AB23" s="73"/>
      <c r="AC23" s="223"/>
      <c r="AD23" s="73"/>
      <c r="AE23" s="73"/>
      <c r="AF23" s="235"/>
      <c r="AG23" s="233"/>
      <c r="AH23" s="189"/>
      <c r="AI23" s="175"/>
      <c r="AJ23" s="28" t="s">
        <v>35</v>
      </c>
      <c r="AK23" s="479" t="str">
        <f t="shared" ref="AK23:AM26" si="14">IF(X6=AK17,"OK","エラー")</f>
        <v>OK</v>
      </c>
      <c r="AL23" s="30" t="s">
        <v>40</v>
      </c>
      <c r="AM23" s="480" t="str">
        <f t="shared" si="14"/>
        <v>OK</v>
      </c>
      <c r="AN23" s="174"/>
      <c r="AO23" s="1528" t="s">
        <v>248</v>
      </c>
      <c r="AP23" s="1528"/>
      <c r="AQ23" s="484"/>
      <c r="AR23" s="484"/>
      <c r="AS23" s="175"/>
      <c r="AT23" s="1475" t="s">
        <v>241</v>
      </c>
      <c r="AU23" s="1475"/>
      <c r="AV23" s="380"/>
      <c r="AW23" s="380"/>
      <c r="AX23" s="376"/>
      <c r="AY23" s="1495" t="s">
        <v>241</v>
      </c>
      <c r="AZ23" s="1475"/>
      <c r="BA23" s="316"/>
      <c r="BB23" s="409"/>
      <c r="BC23" s="376"/>
      <c r="BD23" s="449"/>
      <c r="BF23" s="4" t="s">
        <v>258</v>
      </c>
      <c r="BH23" s="12"/>
      <c r="BM23" s="12"/>
      <c r="BQ23" s="459"/>
      <c r="BR23" s="12"/>
      <c r="BS23" s="12"/>
      <c r="BT23" s="12"/>
      <c r="BU23" s="12"/>
      <c r="BV23" s="12"/>
      <c r="BW23" s="12"/>
      <c r="BX23" s="4"/>
      <c r="BY23" s="4"/>
      <c r="BZ23" s="4"/>
      <c r="CA23" s="4"/>
      <c r="CB23" s="4"/>
      <c r="CC23" s="4"/>
      <c r="CD23" s="4"/>
      <c r="CE23" s="4"/>
      <c r="CF23" s="583">
        <v>9</v>
      </c>
      <c r="CG23" s="583">
        <f t="shared" si="6"/>
        <v>502500</v>
      </c>
      <c r="CH23" s="4"/>
      <c r="CI23" s="13"/>
      <c r="CK23" s="278"/>
      <c r="CL23" s="281" t="s">
        <v>193</v>
      </c>
      <c r="CM23" s="286">
        <f t="shared" si="11"/>
        <v>2100</v>
      </c>
      <c r="CN23" s="278"/>
      <c r="CP23" s="292"/>
      <c r="CQ23" s="292"/>
      <c r="CR23" s="308"/>
    </row>
    <row r="24" spans="1:96" ht="18" customHeight="1">
      <c r="D24" s="101"/>
      <c r="E24" s="70"/>
      <c r="G24" s="9"/>
      <c r="H24" s="102"/>
      <c r="I24" s="5"/>
      <c r="J24" s="9"/>
      <c r="K24" s="18"/>
      <c r="M24" s="103"/>
      <c r="P24" s="103"/>
      <c r="Q24" s="70"/>
      <c r="R24" s="104"/>
      <c r="S24" s="68"/>
      <c r="T24" s="68"/>
      <c r="U24" s="68"/>
      <c r="AA24" s="26"/>
      <c r="AB24" s="26"/>
      <c r="AC24" s="491"/>
      <c r="AD24" s="26"/>
      <c r="AE24" s="486"/>
      <c r="AF24" s="231"/>
      <c r="AG24" s="26"/>
      <c r="AH24" s="26"/>
      <c r="AI24" s="173"/>
      <c r="AJ24" s="28" t="s">
        <v>36</v>
      </c>
      <c r="AK24" s="479" t="str">
        <f t="shared" si="14"/>
        <v>OK</v>
      </c>
      <c r="AL24" s="30" t="s">
        <v>41</v>
      </c>
      <c r="AM24" s="480" t="str">
        <f t="shared" si="14"/>
        <v>OK</v>
      </c>
      <c r="AN24" s="174"/>
      <c r="AO24" s="321" t="s">
        <v>52</v>
      </c>
      <c r="AP24" s="343" t="s">
        <v>212</v>
      </c>
      <c r="AQ24" s="1473" t="s">
        <v>211</v>
      </c>
      <c r="AR24" s="1473"/>
      <c r="AS24" s="179"/>
      <c r="AT24" s="1474" t="s">
        <v>430</v>
      </c>
      <c r="AU24" s="1474"/>
      <c r="AV24" s="1474"/>
      <c r="AW24" s="1474"/>
      <c r="AX24" s="376"/>
      <c r="AY24" s="403" t="s">
        <v>254</v>
      </c>
      <c r="AZ24" s="1498" t="s">
        <v>255</v>
      </c>
      <c r="BA24" s="1498"/>
      <c r="BB24" s="1499"/>
      <c r="BC24" s="376"/>
      <c r="BD24" s="1426" t="s">
        <v>256</v>
      </c>
      <c r="BE24" s="1427"/>
      <c r="BF24" s="1427"/>
      <c r="BG24" s="1427"/>
      <c r="BH24" s="12"/>
      <c r="BI24" s="437" t="s">
        <v>259</v>
      </c>
      <c r="BJ24" s="1438" t="s">
        <v>260</v>
      </c>
      <c r="BK24" s="1438"/>
      <c r="BL24" s="1438"/>
      <c r="BM24" s="12"/>
      <c r="BO24" s="143" t="s">
        <v>126</v>
      </c>
      <c r="BP24" s="12" t="s">
        <v>88</v>
      </c>
      <c r="BQ24" s="446"/>
      <c r="BR24" s="12"/>
      <c r="BS24" s="12"/>
      <c r="BT24" s="12"/>
      <c r="BU24" s="12"/>
      <c r="BV24" s="12"/>
      <c r="BW24" s="12"/>
      <c r="BX24" s="4"/>
      <c r="BY24" s="4"/>
      <c r="BZ24" s="4"/>
      <c r="CA24" s="4"/>
      <c r="CB24" s="4"/>
      <c r="CC24" s="4"/>
      <c r="CD24" s="4"/>
      <c r="CE24" s="4"/>
      <c r="CF24" s="583">
        <v>10</v>
      </c>
      <c r="CG24" s="583">
        <f t="shared" si="6"/>
        <v>558300</v>
      </c>
      <c r="CH24" s="4"/>
      <c r="CI24" s="13"/>
      <c r="CK24" s="278"/>
      <c r="CL24" s="281" t="s">
        <v>194</v>
      </c>
      <c r="CM24" s="286">
        <f t="shared" si="11"/>
        <v>2100</v>
      </c>
      <c r="CN24" s="278"/>
      <c r="CP24" s="292"/>
      <c r="CQ24" s="292"/>
      <c r="CR24" s="308"/>
    </row>
    <row r="25" spans="1:96" ht="18" customHeight="1">
      <c r="A25" s="194" t="s">
        <v>52</v>
      </c>
      <c r="B25" s="1396">
        <f>入力画面!C17</f>
        <v>0</v>
      </c>
      <c r="C25" s="1396"/>
      <c r="D25" s="1396"/>
      <c r="E25" s="196" t="s">
        <v>11</v>
      </c>
      <c r="F25" s="1398" t="s">
        <v>57</v>
      </c>
      <c r="G25" s="1398"/>
      <c r="H25" s="1398"/>
      <c r="I25" s="1380">
        <f>IF(入力画面!I19&gt;0,1,0)</f>
        <v>0</v>
      </c>
      <c r="J25" s="1381"/>
      <c r="K25" s="1515">
        <f>IF(H30=0,0,IF($K$8=0, "加入月が未入力です!！",IF($L$87=$A$87,"限度超過額に達しているため計算不可能!!",IF(U27-U26=U28,"エラー名前を入力されているが加入月未入力!！",IF(H30&gt;K27,"加入月未入力エラー!！",0)))))</f>
        <v>0</v>
      </c>
      <c r="L25" s="1516"/>
      <c r="M25" s="1516"/>
      <c r="N25" s="1516"/>
      <c r="O25" s="1516"/>
      <c r="P25" s="1516"/>
      <c r="Q25" s="1516"/>
      <c r="R25" s="1516"/>
      <c r="S25" s="1517"/>
      <c r="T25" s="195" t="s">
        <v>47</v>
      </c>
      <c r="U25" s="1417">
        <f>IF(U30&gt;0,"医療分",0)</f>
        <v>0</v>
      </c>
      <c r="V25" s="1418"/>
      <c r="W25" s="1419" t="s">
        <v>46</v>
      </c>
      <c r="X25" s="1278"/>
      <c r="Y25" s="1278"/>
      <c r="Z25" s="1279"/>
      <c r="AA25" s="26"/>
      <c r="AB25" s="26"/>
      <c r="AC25" s="491"/>
      <c r="AD25" s="26"/>
      <c r="AE25" s="486"/>
      <c r="AF25" s="236" t="s">
        <v>117</v>
      </c>
      <c r="AG25" s="26"/>
      <c r="AH25" s="274">
        <f>IF(K27=0,0,IF(K27&lt;12,1,0))</f>
        <v>0</v>
      </c>
      <c r="AI25" s="73"/>
      <c r="AJ25" s="28" t="s">
        <v>43</v>
      </c>
      <c r="AK25" s="479" t="str">
        <f t="shared" si="14"/>
        <v>OK</v>
      </c>
      <c r="AL25" s="30" t="s">
        <v>42</v>
      </c>
      <c r="AM25" s="480" t="str">
        <f>IF(Z8=AM19,"OK","エラー")</f>
        <v>OK</v>
      </c>
      <c r="AN25" s="366" t="s">
        <v>145</v>
      </c>
      <c r="AO25" s="1553" t="s">
        <v>46</v>
      </c>
      <c r="AP25" s="1554"/>
      <c r="AQ25" s="1478">
        <f>IF(R27+R30=0,0,IF(K28&gt;K27,"期割がアンマッチ使用禁止↓",0))</f>
        <v>0</v>
      </c>
      <c r="AR25" s="1479"/>
      <c r="AS25" s="179"/>
      <c r="AT25" s="1494" t="s">
        <v>46</v>
      </c>
      <c r="AU25" s="1477"/>
      <c r="AV25" s="1491"/>
      <c r="AW25" s="1493"/>
      <c r="AX25" s="376"/>
      <c r="AY25" s="1476" t="s">
        <v>46</v>
      </c>
      <c r="AZ25" s="1477"/>
      <c r="BA25" s="1491">
        <f>IF($R$17+$R30=0,0,IF($K$18&gt;$K$17,"期割がアンマッチ使用禁止↓",0))</f>
        <v>0</v>
      </c>
      <c r="BB25" s="1492"/>
      <c r="BC25" s="376"/>
      <c r="BD25" s="1435" t="s">
        <v>46</v>
      </c>
      <c r="BE25" s="1434"/>
      <c r="BF25" s="1436" t="s">
        <v>87</v>
      </c>
      <c r="BG25" s="1437"/>
      <c r="BH25" s="12"/>
      <c r="BI25" s="1253" t="s">
        <v>46</v>
      </c>
      <c r="BJ25" s="1434"/>
      <c r="BK25" s="1431"/>
      <c r="BL25" s="1433"/>
      <c r="BM25" s="12"/>
      <c r="BN25" s="1253" t="s">
        <v>46</v>
      </c>
      <c r="BO25" s="1434"/>
      <c r="BP25" s="1431"/>
      <c r="BQ25" s="1432"/>
      <c r="BR25" s="12"/>
      <c r="BS25" s="12"/>
      <c r="BT25" s="12"/>
      <c r="BU25" s="12"/>
      <c r="BV25" s="12"/>
      <c r="BW25" s="12"/>
      <c r="BX25" s="4"/>
      <c r="BY25" s="4"/>
      <c r="BZ25" s="4"/>
      <c r="CA25" s="4"/>
      <c r="CB25" s="4"/>
      <c r="CC25" s="4"/>
      <c r="CD25" s="4"/>
      <c r="CE25" s="4"/>
      <c r="CF25" s="583">
        <v>11</v>
      </c>
      <c r="CG25" s="583">
        <f t="shared" si="6"/>
        <v>614100</v>
      </c>
      <c r="CH25" s="4"/>
      <c r="CI25" s="13"/>
      <c r="CK25" s="279"/>
      <c r="CL25" s="277"/>
      <c r="CM25" s="296"/>
      <c r="CN25" s="279"/>
      <c r="CP25" s="292"/>
      <c r="CQ25" s="292"/>
      <c r="CR25" s="308"/>
    </row>
    <row r="26" spans="1:96" ht="18" customHeight="1">
      <c r="A26" s="165"/>
      <c r="B26" s="12"/>
      <c r="C26" s="75" t="s">
        <v>33</v>
      </c>
      <c r="D26" s="12"/>
      <c r="E26" s="12"/>
      <c r="F26" s="1394" t="s">
        <v>433</v>
      </c>
      <c r="G26" s="1394"/>
      <c r="H26" s="1394"/>
      <c r="I26" s="1380">
        <f>IF(入力画面!I20&gt;0,1,0)</f>
        <v>0</v>
      </c>
      <c r="J26" s="1381"/>
      <c r="K26" s="76" t="s">
        <v>9</v>
      </c>
      <c r="L26" s="12"/>
      <c r="M26" s="1551"/>
      <c r="N26" s="1551"/>
      <c r="O26" s="1551"/>
      <c r="P26" s="1551"/>
      <c r="Q26" s="1551"/>
      <c r="R26" s="1551"/>
      <c r="S26" s="1552"/>
      <c r="T26" s="72" t="s">
        <v>30</v>
      </c>
      <c r="U26" s="105">
        <f>R27+R30</f>
        <v>0</v>
      </c>
      <c r="V26" s="88" t="s">
        <v>6</v>
      </c>
      <c r="W26" s="80" t="s">
        <v>34</v>
      </c>
      <c r="X26" s="29">
        <f>IF($AH$13&gt;0,0,AZ26)</f>
        <v>0</v>
      </c>
      <c r="Y26" s="80" t="s">
        <v>39</v>
      </c>
      <c r="Z26" s="31">
        <f>IF($AH$13&gt;0,0,BB26)</f>
        <v>0</v>
      </c>
      <c r="AA26" s="26"/>
      <c r="AB26" s="26"/>
      <c r="AC26" s="491"/>
      <c r="AD26" s="26"/>
      <c r="AE26" s="486"/>
      <c r="AF26" s="217">
        <f>AF27+AF30+AF33</f>
        <v>0</v>
      </c>
      <c r="AG26" s="26"/>
      <c r="AH26" s="26"/>
      <c r="AI26" s="173"/>
      <c r="AJ26" s="28" t="s">
        <v>37</v>
      </c>
      <c r="AK26" s="479" t="str">
        <f t="shared" si="14"/>
        <v>OK</v>
      </c>
      <c r="AL26" s="1253" t="s">
        <v>44</v>
      </c>
      <c r="AM26" s="1414" t="str">
        <f>IF(Z9=AM20,"OK","エラー")</f>
        <v>OK</v>
      </c>
      <c r="AN26" s="173"/>
      <c r="AO26" s="322" t="s">
        <v>34</v>
      </c>
      <c r="AP26" s="323">
        <f>AR30-(AP27+AP28+AP29+AP30+AP31+AR26+AR27+AR28+AR29)</f>
        <v>0</v>
      </c>
      <c r="AQ26" s="324" t="s">
        <v>39</v>
      </c>
      <c r="AR26" s="355">
        <f>ROUNDDOWN(AR30/10,-2)</f>
        <v>0</v>
      </c>
      <c r="AS26" s="173"/>
      <c r="AT26" s="313" t="s">
        <v>34</v>
      </c>
      <c r="AU26" s="374">
        <f>IF($AG$2&gt;0,"限度超過",AP26-AZ115-AZ203-AZ292)</f>
        <v>0</v>
      </c>
      <c r="AV26" s="311" t="s">
        <v>39</v>
      </c>
      <c r="AW26" s="375">
        <f>IF($AG$2&gt;0,"限度超過",AR26-BB115-BB203-BB292)</f>
        <v>0</v>
      </c>
      <c r="AX26" s="376"/>
      <c r="AY26" s="404" t="s">
        <v>34</v>
      </c>
      <c r="AZ26" s="310">
        <f>AU26</f>
        <v>0</v>
      </c>
      <c r="BA26" s="311" t="s">
        <v>39</v>
      </c>
      <c r="BB26" s="405">
        <f>AW26</f>
        <v>0</v>
      </c>
      <c r="BC26" s="376"/>
      <c r="BD26" s="448" t="s">
        <v>34</v>
      </c>
      <c r="BE26" s="81">
        <f t="shared" ref="BE26:BE31" si="15">BE16</f>
        <v>0</v>
      </c>
      <c r="BF26" s="82" t="s">
        <v>39</v>
      </c>
      <c r="BG26" s="29">
        <f>BG16</f>
        <v>0</v>
      </c>
      <c r="BH26" s="12"/>
      <c r="BI26" s="80" t="s">
        <v>34</v>
      </c>
      <c r="BJ26" s="29">
        <f t="shared" ref="BJ26:BJ31" si="16">IF($A$87=$L$87,"限度超過",IF(BE26=0,0,BE26/$S$5))</f>
        <v>0</v>
      </c>
      <c r="BK26" s="80" t="s">
        <v>39</v>
      </c>
      <c r="BL26" s="29">
        <f>IF($A$87=$L$87,"限度超過",IF(BG26=0,0,BG26/$S$5))</f>
        <v>0</v>
      </c>
      <c r="BM26" s="12"/>
      <c r="BN26" s="30" t="s">
        <v>34</v>
      </c>
      <c r="BO26" s="29">
        <f t="shared" ref="BO26:BO31" si="17">IF($A$87=$L$87,"限度超過",IF($S$5&lt;=1,0,BJ26))</f>
        <v>0</v>
      </c>
      <c r="BP26" s="80" t="s">
        <v>39</v>
      </c>
      <c r="BQ26" s="457">
        <f>IF($A$87=$L$87,"限度超過",IF($S$5&lt;=1,0,BL26))</f>
        <v>0</v>
      </c>
      <c r="BR26" s="12"/>
      <c r="BS26" s="12"/>
      <c r="BT26" s="12"/>
      <c r="BU26" s="12"/>
      <c r="BV26" s="12"/>
      <c r="BW26" s="12"/>
      <c r="BX26" s="32"/>
      <c r="BY26" s="33" t="str">
        <f>BY16</f>
        <v>料率</v>
      </c>
      <c r="BZ26" s="33">
        <f>BZ16</f>
        <v>7</v>
      </c>
      <c r="CA26" s="33">
        <f>CA16</f>
        <v>5</v>
      </c>
      <c r="CB26" s="33">
        <f>CB16</f>
        <v>2</v>
      </c>
      <c r="CC26" s="576" t="s">
        <v>341</v>
      </c>
      <c r="CD26" s="4"/>
      <c r="CE26" s="4"/>
      <c r="CF26" s="583">
        <v>12</v>
      </c>
      <c r="CG26" s="583">
        <f>ROUNDDOWN($CE$10/12*CF26,-2)</f>
        <v>670000</v>
      </c>
      <c r="CH26" s="4"/>
      <c r="CI26" s="13"/>
      <c r="CM26" s="298"/>
      <c r="CP26" s="292"/>
      <c r="CQ26" s="292"/>
      <c r="CR26" s="308"/>
    </row>
    <row r="27" spans="1:96" ht="18" customHeight="1">
      <c r="A27" s="1378" t="s">
        <v>0</v>
      </c>
      <c r="B27" s="1556" t="s">
        <v>129</v>
      </c>
      <c r="C27" s="1382">
        <f>入力画面!R19</f>
        <v>0</v>
      </c>
      <c r="D27" s="1010" t="s">
        <v>58</v>
      </c>
      <c r="E27" s="1389">
        <f>IF(H30&gt;0,$CE$11, 0)</f>
        <v>0</v>
      </c>
      <c r="F27" s="1395" t="s">
        <v>22</v>
      </c>
      <c r="G27" s="1010" t="s">
        <v>59</v>
      </c>
      <c r="H27" s="85">
        <f>IF(H30&gt;0,$CE$7,0)</f>
        <v>0</v>
      </c>
      <c r="I27" s="1385" t="s">
        <v>22</v>
      </c>
      <c r="J27" s="1010" t="s">
        <v>59</v>
      </c>
      <c r="K27" s="51">
        <f>入力画面!I18</f>
        <v>0</v>
      </c>
      <c r="L27" s="52" t="s">
        <v>5</v>
      </c>
      <c r="M27" s="1395"/>
      <c r="N27" s="1527"/>
      <c r="O27" s="86"/>
      <c r="P27" s="1392" t="s">
        <v>130</v>
      </c>
      <c r="Q27" s="1392"/>
      <c r="R27" s="1391">
        <f>ROUNDDOWN(IF(((C27-E27)*H27/H28)*K27/K28&lt;0,0,((C27-E27)*H27/H28)*K27/K28),0)</f>
        <v>0</v>
      </c>
      <c r="S27" s="1524" t="s">
        <v>6</v>
      </c>
      <c r="T27" s="72" t="s">
        <v>1</v>
      </c>
      <c r="U27" s="105">
        <f>IF(H30=0,0,K33)</f>
        <v>0</v>
      </c>
      <c r="V27" s="88" t="s">
        <v>6</v>
      </c>
      <c r="W27" s="30" t="s">
        <v>35</v>
      </c>
      <c r="X27" s="29">
        <f>IF($AH$13&gt;0,0,AZ27)</f>
        <v>0</v>
      </c>
      <c r="Y27" s="30" t="s">
        <v>40</v>
      </c>
      <c r="Z27" s="31">
        <f t="shared" ref="X27:Z31" si="18">IF($AH$13&gt;0,0,BB27)</f>
        <v>0</v>
      </c>
      <c r="AA27" s="26"/>
      <c r="AB27" s="26"/>
      <c r="AC27" s="491"/>
      <c r="AD27" s="26"/>
      <c r="AE27" s="486"/>
      <c r="AF27" s="1416">
        <f>ROUNDDOWN(IF(((C27-E27)*H27/H28)&lt;0,0,((C27-E27)*H27/H28)),0)</f>
        <v>0</v>
      </c>
      <c r="AG27" s="26"/>
      <c r="AH27" s="26"/>
      <c r="AI27" s="173"/>
      <c r="AJ27" s="65" t="s">
        <v>38</v>
      </c>
      <c r="AK27" s="481" t="str">
        <f>IF(X10=AK21,"OK","エラー")</f>
        <v>OK</v>
      </c>
      <c r="AL27" s="1254"/>
      <c r="AM27" s="1415"/>
      <c r="AN27" s="173"/>
      <c r="AO27" s="325" t="s">
        <v>35</v>
      </c>
      <c r="AP27" s="323">
        <f>ROUNDDOWN(AR30/10,-2)</f>
        <v>0</v>
      </c>
      <c r="AQ27" s="324" t="s">
        <v>40</v>
      </c>
      <c r="AR27" s="355">
        <f>ROUNDDOWN(AR30/10,-2)</f>
        <v>0</v>
      </c>
      <c r="AS27" s="173"/>
      <c r="AT27" s="313" t="s">
        <v>35</v>
      </c>
      <c r="AU27" s="374">
        <f t="shared" ref="AU27:AU31" si="19">IF($AG$2&gt;0,"限度超過",AP27-AZ116-AZ204-AZ293)</f>
        <v>0</v>
      </c>
      <c r="AV27" s="311" t="s">
        <v>40</v>
      </c>
      <c r="AW27" s="375">
        <f t="shared" ref="AW27" si="20">IF($AG$2&gt;0,"限度超過",AR27-BB116-BB204-BB293)</f>
        <v>0</v>
      </c>
      <c r="AX27" s="376"/>
      <c r="AY27" s="406" t="s">
        <v>35</v>
      </c>
      <c r="AZ27" s="310">
        <f t="shared" ref="AZ27:AZ31" si="21">AU27</f>
        <v>0</v>
      </c>
      <c r="BA27" s="311" t="s">
        <v>40</v>
      </c>
      <c r="BB27" s="405">
        <f>AW27</f>
        <v>0</v>
      </c>
      <c r="BC27" s="376"/>
      <c r="BD27" s="448" t="s">
        <v>35</v>
      </c>
      <c r="BE27" s="81">
        <f t="shared" si="15"/>
        <v>0</v>
      </c>
      <c r="BF27" s="82" t="s">
        <v>40</v>
      </c>
      <c r="BG27" s="29">
        <f>BG17</f>
        <v>0</v>
      </c>
      <c r="BH27" s="12"/>
      <c r="BI27" s="30" t="s">
        <v>35</v>
      </c>
      <c r="BJ27" s="29">
        <f t="shared" si="16"/>
        <v>0</v>
      </c>
      <c r="BK27" s="30" t="s">
        <v>40</v>
      </c>
      <c r="BL27" s="29">
        <f>IF($A$87=$L$87,"限度超過",IF(BG27=0,0,BG27/$S$5))</f>
        <v>0</v>
      </c>
      <c r="BM27" s="12"/>
      <c r="BN27" s="30" t="s">
        <v>35</v>
      </c>
      <c r="BO27" s="29">
        <f t="shared" si="17"/>
        <v>0</v>
      </c>
      <c r="BP27" s="30" t="s">
        <v>40</v>
      </c>
      <c r="BQ27" s="457">
        <f>IF($A$87=$L$87,"限度超過",IF($S$5&lt;=1,0,BL27))</f>
        <v>0</v>
      </c>
      <c r="BR27" s="12"/>
      <c r="BS27" s="12"/>
      <c r="BT27" s="12"/>
      <c r="BU27" s="12"/>
      <c r="BV27" s="12"/>
      <c r="BW27" s="12"/>
      <c r="BX27" s="32" t="s">
        <v>17</v>
      </c>
      <c r="BY27" s="44">
        <v>0</v>
      </c>
      <c r="BZ27" s="45">
        <f>$CF$8</f>
        <v>18250</v>
      </c>
      <c r="CA27" s="45">
        <f>$CG$8</f>
        <v>13030</v>
      </c>
      <c r="CB27" s="45">
        <f>$CH$8</f>
        <v>5220</v>
      </c>
      <c r="CC27" s="576"/>
      <c r="CD27" s="4"/>
      <c r="CE27" s="4"/>
      <c r="CF27" s="4"/>
      <c r="CG27" s="587">
        <f>VLOOKUP(BV83,CF15:CG26,2,FALSE)</f>
        <v>670000</v>
      </c>
      <c r="CH27" s="4"/>
      <c r="CI27" s="13"/>
      <c r="CM27" s="292"/>
      <c r="CO27" s="298"/>
      <c r="CP27" s="292"/>
      <c r="CQ27" s="292"/>
      <c r="CR27" s="308"/>
    </row>
    <row r="28" spans="1:96" ht="18" customHeight="1">
      <c r="A28" s="1378"/>
      <c r="B28" s="1556"/>
      <c r="C28" s="1382"/>
      <c r="D28" s="1010"/>
      <c r="E28" s="1389"/>
      <c r="F28" s="1395"/>
      <c r="G28" s="1010"/>
      <c r="H28" s="39">
        <v>100</v>
      </c>
      <c r="I28" s="1385"/>
      <c r="J28" s="1010"/>
      <c r="K28" s="55">
        <v>12</v>
      </c>
      <c r="L28" s="12" t="s">
        <v>5</v>
      </c>
      <c r="M28" s="1395"/>
      <c r="N28" s="1527"/>
      <c r="O28" s="86"/>
      <c r="P28" s="1392"/>
      <c r="Q28" s="1392"/>
      <c r="R28" s="1391"/>
      <c r="S28" s="1524"/>
      <c r="T28" s="72" t="s">
        <v>29</v>
      </c>
      <c r="U28" s="105">
        <f>U26+U27</f>
        <v>0</v>
      </c>
      <c r="V28" s="88" t="s">
        <v>6</v>
      </c>
      <c r="W28" s="30" t="s">
        <v>36</v>
      </c>
      <c r="X28" s="29">
        <f t="shared" si="18"/>
        <v>0</v>
      </c>
      <c r="Y28" s="30" t="s">
        <v>41</v>
      </c>
      <c r="Z28" s="31">
        <f t="shared" si="18"/>
        <v>0</v>
      </c>
      <c r="AA28" s="26"/>
      <c r="AB28" s="26"/>
      <c r="AC28" s="491"/>
      <c r="AD28" s="26"/>
      <c r="AE28" s="486"/>
      <c r="AF28" s="1416"/>
      <c r="AG28" s="26"/>
      <c r="AH28" s="26"/>
      <c r="AI28" s="173"/>
      <c r="AJ28" s="173"/>
      <c r="AK28" s="173"/>
      <c r="AL28" s="173"/>
      <c r="AM28" s="173"/>
      <c r="AN28" s="173"/>
      <c r="AO28" s="325" t="s">
        <v>36</v>
      </c>
      <c r="AP28" s="323">
        <f>ROUNDDOWN(AR30/10,-2)</f>
        <v>0</v>
      </c>
      <c r="AQ28" s="324" t="s">
        <v>41</v>
      </c>
      <c r="AR28" s="355">
        <f>ROUNDDOWN(AR30/10,-2)</f>
        <v>0</v>
      </c>
      <c r="AS28" s="173"/>
      <c r="AT28" s="313" t="s">
        <v>36</v>
      </c>
      <c r="AU28" s="374">
        <f t="shared" si="19"/>
        <v>0</v>
      </c>
      <c r="AV28" s="311" t="s">
        <v>41</v>
      </c>
      <c r="AW28" s="375">
        <f>IF($AG$2&gt;0,"限度超過",AR28-BB117-BB205-BB294)</f>
        <v>0</v>
      </c>
      <c r="AX28" s="376"/>
      <c r="AY28" s="406" t="s">
        <v>36</v>
      </c>
      <c r="AZ28" s="310">
        <f t="shared" si="21"/>
        <v>0</v>
      </c>
      <c r="BA28" s="311" t="s">
        <v>41</v>
      </c>
      <c r="BB28" s="405">
        <f>AW28</f>
        <v>0</v>
      </c>
      <c r="BC28" s="376"/>
      <c r="BD28" s="448" t="s">
        <v>36</v>
      </c>
      <c r="BE28" s="81">
        <f t="shared" si="15"/>
        <v>0</v>
      </c>
      <c r="BF28" s="82" t="s">
        <v>41</v>
      </c>
      <c r="BG28" s="29">
        <f>BG18</f>
        <v>0</v>
      </c>
      <c r="BH28" s="12"/>
      <c r="BI28" s="30" t="s">
        <v>36</v>
      </c>
      <c r="BJ28" s="29">
        <f t="shared" si="16"/>
        <v>0</v>
      </c>
      <c r="BK28" s="30" t="s">
        <v>41</v>
      </c>
      <c r="BL28" s="29">
        <f>IF($A$87=$L$87,"限度超過",IF(BG28=0,0,BG28/$S$5))</f>
        <v>0</v>
      </c>
      <c r="BM28" s="12"/>
      <c r="BN28" s="30" t="s">
        <v>36</v>
      </c>
      <c r="BO28" s="29">
        <f t="shared" si="17"/>
        <v>0</v>
      </c>
      <c r="BP28" s="30" t="s">
        <v>41</v>
      </c>
      <c r="BQ28" s="457">
        <f>IF($A$87=$L$87,"限度超過",IF($S$5&lt;=1,0,BL28))</f>
        <v>0</v>
      </c>
      <c r="BR28" s="12"/>
      <c r="BS28" s="12"/>
      <c r="BT28" s="12"/>
      <c r="BU28" s="12"/>
      <c r="BV28" s="12"/>
      <c r="BW28" s="12"/>
      <c r="BX28" s="32" t="s">
        <v>8</v>
      </c>
      <c r="BY28" s="45">
        <f>K30</f>
        <v>0</v>
      </c>
      <c r="BZ28" s="45">
        <f t="shared" ref="BZ28:CB30" si="22">BY28</f>
        <v>0</v>
      </c>
      <c r="CA28" s="45">
        <f t="shared" si="22"/>
        <v>0</v>
      </c>
      <c r="CB28" s="45">
        <f t="shared" si="22"/>
        <v>0</v>
      </c>
      <c r="CC28" s="576">
        <f>CB28</f>
        <v>0</v>
      </c>
      <c r="CD28" s="4"/>
      <c r="CE28" s="4"/>
      <c r="CF28" s="4"/>
      <c r="CG28" s="4"/>
      <c r="CH28" s="4"/>
      <c r="CI28" s="13"/>
      <c r="CK28" s="1487" t="s">
        <v>198</v>
      </c>
      <c r="CL28" s="1485" t="s">
        <v>196</v>
      </c>
      <c r="CM28" s="1481" t="s">
        <v>178</v>
      </c>
      <c r="CN28" s="331"/>
      <c r="CO28" s="298"/>
      <c r="CP28" s="292"/>
      <c r="CQ28" s="292"/>
      <c r="CR28" s="308"/>
    </row>
    <row r="29" spans="1:96" ht="18" customHeight="1">
      <c r="A29" s="165"/>
      <c r="B29" s="12"/>
      <c r="C29" s="50"/>
      <c r="D29" s="12"/>
      <c r="E29" s="12"/>
      <c r="F29" s="12"/>
      <c r="G29" s="12"/>
      <c r="H29" s="91"/>
      <c r="I29" s="75"/>
      <c r="J29" s="75"/>
      <c r="K29" s="92"/>
      <c r="L29" s="75"/>
      <c r="M29" s="93"/>
      <c r="N29" s="578">
        <f>IF(入力画面!E17=1,"未就学児",0)</f>
        <v>0</v>
      </c>
      <c r="O29" s="42">
        <f>IF(H30=0,0,$D$5)</f>
        <v>0</v>
      </c>
      <c r="P29" s="463">
        <f>IF(O30=0,0,"軽減額")</f>
        <v>0</v>
      </c>
      <c r="Q29" s="12"/>
      <c r="R29" s="95"/>
      <c r="S29" s="49"/>
      <c r="T29" s="96" t="s">
        <v>31</v>
      </c>
      <c r="U29" s="105">
        <f>ROUNDDOWN(U28,-2)</f>
        <v>0</v>
      </c>
      <c r="V29" s="88" t="s">
        <v>6</v>
      </c>
      <c r="W29" s="30" t="s">
        <v>43</v>
      </c>
      <c r="X29" s="29">
        <f t="shared" si="18"/>
        <v>0</v>
      </c>
      <c r="Y29" s="30" t="s">
        <v>42</v>
      </c>
      <c r="Z29" s="31">
        <f>IF($AH$13&gt;0,0,BB29)</f>
        <v>0</v>
      </c>
      <c r="AA29" s="4"/>
      <c r="AB29" s="4"/>
      <c r="AC29" s="489"/>
      <c r="AD29" s="4"/>
      <c r="AE29" s="497" t="str">
        <f>IF($AH$13&gt;0,"－",IF($AG$2&gt;0,"限度超過",IF(U30=Z30,"OK","ｱﾝﾏｯﾁ")))</f>
        <v>OK</v>
      </c>
      <c r="AF29" s="496"/>
      <c r="AG29" s="4"/>
      <c r="AI29" s="174"/>
      <c r="AJ29" s="174"/>
      <c r="AK29" s="174"/>
      <c r="AL29" s="174"/>
      <c r="AM29" s="174"/>
      <c r="AN29" s="173"/>
      <c r="AO29" s="325" t="s">
        <v>43</v>
      </c>
      <c r="AP29" s="323">
        <f>ROUNDDOWN(AR30/10,-2)</f>
        <v>0</v>
      </c>
      <c r="AQ29" s="324" t="s">
        <v>42</v>
      </c>
      <c r="AR29" s="355">
        <f>ROUNDDOWN(AR30/10,-2)</f>
        <v>0</v>
      </c>
      <c r="AS29" s="174"/>
      <c r="AT29" s="313" t="s">
        <v>43</v>
      </c>
      <c r="AU29" s="374">
        <f t="shared" si="19"/>
        <v>0</v>
      </c>
      <c r="AV29" s="311" t="s">
        <v>42</v>
      </c>
      <c r="AW29" s="375">
        <f>IF($AG$2&gt;0,"限度超過",AR29-BB118-BB206-BB295)</f>
        <v>0</v>
      </c>
      <c r="AX29" s="376"/>
      <c r="AY29" s="406" t="s">
        <v>43</v>
      </c>
      <c r="AZ29" s="310">
        <f t="shared" si="21"/>
        <v>0</v>
      </c>
      <c r="BA29" s="311" t="s">
        <v>42</v>
      </c>
      <c r="BB29" s="405">
        <f>AW29</f>
        <v>0</v>
      </c>
      <c r="BC29" s="376"/>
      <c r="BD29" s="448" t="s">
        <v>43</v>
      </c>
      <c r="BE29" s="81">
        <f t="shared" si="15"/>
        <v>0</v>
      </c>
      <c r="BF29" s="82" t="s">
        <v>42</v>
      </c>
      <c r="BG29" s="29">
        <f>BG19</f>
        <v>0</v>
      </c>
      <c r="BH29" s="12"/>
      <c r="BI29" s="30" t="s">
        <v>43</v>
      </c>
      <c r="BJ29" s="29">
        <f t="shared" si="16"/>
        <v>0</v>
      </c>
      <c r="BK29" s="30" t="s">
        <v>42</v>
      </c>
      <c r="BL29" s="29">
        <f>IF($A$87=$L$87,"限度超過",IF(BG29=0,0,BG29/$S$5))</f>
        <v>0</v>
      </c>
      <c r="BM29" s="12"/>
      <c r="BN29" s="30" t="s">
        <v>43</v>
      </c>
      <c r="BO29" s="29">
        <f t="shared" si="17"/>
        <v>0</v>
      </c>
      <c r="BP29" s="30" t="s">
        <v>42</v>
      </c>
      <c r="BQ29" s="457">
        <f>IF($A$87=$L$87,"限度超過",IF($S$5&lt;=1,0,BL29))</f>
        <v>0</v>
      </c>
      <c r="BR29" s="12"/>
      <c r="BS29" s="12"/>
      <c r="BT29" s="12"/>
      <c r="BU29" s="12"/>
      <c r="BV29" s="12"/>
      <c r="BW29" s="12"/>
      <c r="BX29" s="32" t="s">
        <v>25</v>
      </c>
      <c r="BY29" s="45">
        <f>K31</f>
        <v>0</v>
      </c>
      <c r="BZ29" s="45">
        <f t="shared" si="22"/>
        <v>0</v>
      </c>
      <c r="CA29" s="45">
        <f t="shared" si="22"/>
        <v>0</v>
      </c>
      <c r="CB29" s="45">
        <f t="shared" si="22"/>
        <v>0</v>
      </c>
      <c r="CC29" s="576">
        <f>CB29</f>
        <v>0</v>
      </c>
      <c r="CD29" s="4"/>
      <c r="CE29" s="4"/>
      <c r="CF29" s="4"/>
      <c r="CG29" s="4"/>
      <c r="CH29" s="4"/>
      <c r="CI29" s="13"/>
      <c r="CK29" s="1488"/>
      <c r="CL29" s="1486"/>
      <c r="CM29" s="1482"/>
      <c r="CN29" s="332"/>
      <c r="CO29" s="298"/>
      <c r="CP29" s="292"/>
      <c r="CQ29" s="292"/>
      <c r="CR29" s="308"/>
    </row>
    <row r="30" spans="1:96" ht="18" customHeight="1">
      <c r="A30" s="1378" t="s">
        <v>10</v>
      </c>
      <c r="B30" s="12"/>
      <c r="C30" s="12"/>
      <c r="D30" s="1379" t="s">
        <v>7</v>
      </c>
      <c r="E30" s="1389">
        <f>IF(H30&gt;0,$CE$8,0)</f>
        <v>0</v>
      </c>
      <c r="F30" s="97"/>
      <c r="G30" s="1010" t="s">
        <v>59</v>
      </c>
      <c r="H30" s="1390">
        <f>IF(B25=0,0,SUBTOTAL(3,B25))</f>
        <v>0</v>
      </c>
      <c r="I30" s="1385" t="s">
        <v>22</v>
      </c>
      <c r="J30" s="1010" t="s">
        <v>59</v>
      </c>
      <c r="K30" s="51">
        <f>IF(H30&gt;0,K27,0)</f>
        <v>0</v>
      </c>
      <c r="L30" s="52" t="s">
        <v>5</v>
      </c>
      <c r="M30" s="1527" t="s">
        <v>122</v>
      </c>
      <c r="N30" s="1548">
        <f>IF(O30=0,0,"―")</f>
        <v>0</v>
      </c>
      <c r="O30" s="1525">
        <f>IF(H30=0,0,IF(BY32=0,IF($D$5=7,BZ31,IF($D$5=5,CA31,IF($D$5=2,CB31,CC31))),IF($D$5=7,BZ31+BZ32,IF($D$5=5,CA31+CA32,IF($D$5=2,CB31+CB32,CC31+CC32)))))</f>
        <v>0</v>
      </c>
      <c r="P30" s="1526"/>
      <c r="Q30" s="1392" t="s">
        <v>130</v>
      </c>
      <c r="R30" s="1391">
        <f>IF(H30&gt;0,IF(K27=0,0,ROUNDDOWN(((E30*H30)*K30/K31)-O30,0)),0)</f>
        <v>0</v>
      </c>
      <c r="S30" s="1520" t="s">
        <v>6</v>
      </c>
      <c r="T30" s="1537" t="s">
        <v>32</v>
      </c>
      <c r="U30" s="1522">
        <f>IF($L$87=$A$87,"限度超過!",U28)</f>
        <v>0</v>
      </c>
      <c r="V30" s="1512" t="s">
        <v>6</v>
      </c>
      <c r="W30" s="30" t="s">
        <v>37</v>
      </c>
      <c r="X30" s="29">
        <f t="shared" si="18"/>
        <v>0</v>
      </c>
      <c r="Y30" s="1313" t="s">
        <v>44</v>
      </c>
      <c r="Z30" s="1420">
        <f>IF($AH$13&gt;0,0,BB30)</f>
        <v>0</v>
      </c>
      <c r="AB30" s="4"/>
      <c r="AC30" s="489"/>
      <c r="AD30" s="4"/>
      <c r="AE30" s="497" t="str">
        <f>IF($AG$2&gt;0,"限度超過",IF(X26+X27+X28+X29+X30+X31+Z26+Z27+Z28+Z29=Z30,"OK","エラー"))</f>
        <v>OK</v>
      </c>
      <c r="AF30" s="1521">
        <f>IF(H30&gt;0,IF(K27=0,0,ROUNDDOWN((E30*H30)-O30,0)),0)</f>
        <v>0</v>
      </c>
      <c r="AG30" s="4"/>
      <c r="AI30" s="174"/>
      <c r="AJ30" s="174"/>
      <c r="AK30" s="174"/>
      <c r="AL30" s="174"/>
      <c r="AM30" s="174"/>
      <c r="AN30" s="173"/>
      <c r="AO30" s="325" t="s">
        <v>37</v>
      </c>
      <c r="AP30" s="323">
        <f>ROUNDDOWN(AR30/10,-2)</f>
        <v>0</v>
      </c>
      <c r="AQ30" s="326" t="s">
        <v>44</v>
      </c>
      <c r="AR30" s="327">
        <f>IF($AG$2&gt;0,0,IF($AH$13&gt;0,0,U30+U119+U207+U296))</f>
        <v>0</v>
      </c>
      <c r="AS30" s="174"/>
      <c r="AT30" s="313" t="s">
        <v>37</v>
      </c>
      <c r="AU30" s="374">
        <f t="shared" si="19"/>
        <v>0</v>
      </c>
      <c r="AV30" s="314" t="s">
        <v>44</v>
      </c>
      <c r="AW30" s="312">
        <f>IF($AG$2&gt;0,"限度超過",AU26+AU27+AU28+AU29+AU30+AU31+AW26+AW27+AW28+AW29)</f>
        <v>0</v>
      </c>
      <c r="AX30" s="376"/>
      <c r="AY30" s="406" t="s">
        <v>37</v>
      </c>
      <c r="AZ30" s="310">
        <f t="shared" si="21"/>
        <v>0</v>
      </c>
      <c r="BA30" s="314" t="s">
        <v>44</v>
      </c>
      <c r="BB30" s="405">
        <f>AW30</f>
        <v>0</v>
      </c>
      <c r="BC30" s="376"/>
      <c r="BD30" s="448" t="s">
        <v>37</v>
      </c>
      <c r="BE30" s="81">
        <f t="shared" si="15"/>
        <v>0</v>
      </c>
      <c r="BF30" s="440" t="s">
        <v>44</v>
      </c>
      <c r="BG30" s="29">
        <f>IF($A$87=$L$87,"限度超過",BE26+BE27+BE28+BE29+BE30+BE31+BG26+BG27+BG28+BG29)</f>
        <v>0</v>
      </c>
      <c r="BH30" s="12"/>
      <c r="BI30" s="30" t="s">
        <v>37</v>
      </c>
      <c r="BJ30" s="29">
        <f t="shared" si="16"/>
        <v>0</v>
      </c>
      <c r="BK30" s="98" t="s">
        <v>44</v>
      </c>
      <c r="BL30" s="29">
        <f>IF($A$87=$L$87,"限度超過",BJ26+BJ27+BJ28+BJ29+BJ30+BJ31+BL26+BL27+BL28+BL29)</f>
        <v>0</v>
      </c>
      <c r="BM30" s="12"/>
      <c r="BN30" s="30" t="s">
        <v>37</v>
      </c>
      <c r="BO30" s="29">
        <f t="shared" si="17"/>
        <v>0</v>
      </c>
      <c r="BP30" s="98" t="s">
        <v>44</v>
      </c>
      <c r="BQ30" s="457">
        <f>IF($A$87=$L$87,"限度超過",BO26+BO27+BO28+BO29+BO30+BO31+BQ26+BQ27+BQ28+BQ29)</f>
        <v>0</v>
      </c>
      <c r="BR30" s="12"/>
      <c r="BS30" s="12"/>
      <c r="BT30" s="12"/>
      <c r="BU30" s="12"/>
      <c r="BV30" s="12"/>
      <c r="BW30" s="12"/>
      <c r="BX30" s="32" t="s">
        <v>26</v>
      </c>
      <c r="BY30" s="26">
        <f>H30</f>
        <v>0</v>
      </c>
      <c r="BZ30" s="99">
        <f t="shared" si="22"/>
        <v>0</v>
      </c>
      <c r="CA30" s="99">
        <f t="shared" si="22"/>
        <v>0</v>
      </c>
      <c r="CB30" s="99">
        <f t="shared" si="22"/>
        <v>0</v>
      </c>
      <c r="CC30" s="576">
        <f>CB30</f>
        <v>0</v>
      </c>
      <c r="CD30" s="4"/>
      <c r="CE30" s="4"/>
      <c r="CF30" s="4"/>
      <c r="CG30" s="4"/>
      <c r="CH30" s="4"/>
      <c r="CI30" s="13"/>
      <c r="CK30" s="1489" t="s">
        <v>184</v>
      </c>
      <c r="CL30" s="333" t="s">
        <v>75</v>
      </c>
      <c r="CM30" s="334">
        <f>L87</f>
        <v>15900</v>
      </c>
      <c r="CN30" s="331"/>
      <c r="CO30" s="298"/>
      <c r="CP30" s="292"/>
      <c r="CQ30" s="292"/>
      <c r="CR30" s="308"/>
    </row>
    <row r="31" spans="1:96" ht="18" customHeight="1">
      <c r="A31" s="1378"/>
      <c r="B31" s="12"/>
      <c r="C31" s="12"/>
      <c r="D31" s="1379"/>
      <c r="E31" s="1389"/>
      <c r="F31" s="12"/>
      <c r="G31" s="1010"/>
      <c r="H31" s="1390"/>
      <c r="I31" s="1385"/>
      <c r="J31" s="1010"/>
      <c r="K31" s="180">
        <f>IF(H30&gt;0,K28,0)</f>
        <v>0</v>
      </c>
      <c r="L31" s="12" t="s">
        <v>5</v>
      </c>
      <c r="M31" s="1527"/>
      <c r="N31" s="1548"/>
      <c r="O31" s="1526"/>
      <c r="P31" s="1526"/>
      <c r="Q31" s="1392"/>
      <c r="R31" s="1391"/>
      <c r="S31" s="1520"/>
      <c r="T31" s="1537"/>
      <c r="U31" s="1522"/>
      <c r="V31" s="1512"/>
      <c r="W31" s="30" t="s">
        <v>38</v>
      </c>
      <c r="X31" s="29">
        <f t="shared" si="18"/>
        <v>0</v>
      </c>
      <c r="Y31" s="1422"/>
      <c r="Z31" s="1421"/>
      <c r="AA31" s="73"/>
      <c r="AB31" s="73"/>
      <c r="AC31" s="223"/>
      <c r="AD31" s="73"/>
      <c r="AE31" s="73"/>
      <c r="AF31" s="1416"/>
      <c r="AG31" s="73"/>
      <c r="AH31" s="189"/>
      <c r="AI31" s="175"/>
      <c r="AJ31" s="175"/>
      <c r="AK31" s="175"/>
      <c r="AL31" s="175"/>
      <c r="AM31" s="175"/>
      <c r="AN31" s="174"/>
      <c r="AO31" s="325" t="s">
        <v>38</v>
      </c>
      <c r="AP31" s="323">
        <f>ROUNDDOWN(AR30/10,-2)</f>
        <v>0</v>
      </c>
      <c r="AQ31" s="324"/>
      <c r="AR31" s="328"/>
      <c r="AS31" s="175"/>
      <c r="AT31" s="313" t="s">
        <v>38</v>
      </c>
      <c r="AU31" s="374">
        <f t="shared" si="19"/>
        <v>0</v>
      </c>
      <c r="AV31" s="311" t="s">
        <v>75</v>
      </c>
      <c r="AW31" s="329">
        <f>IF($AG$2&gt;0,"限度超過",U30)</f>
        <v>0</v>
      </c>
      <c r="AX31" s="376"/>
      <c r="AY31" s="406" t="s">
        <v>38</v>
      </c>
      <c r="AZ31" s="310">
        <f t="shared" si="21"/>
        <v>0</v>
      </c>
      <c r="BA31" s="311"/>
      <c r="BB31" s="407"/>
      <c r="BC31" s="376"/>
      <c r="BD31" s="448" t="s">
        <v>38</v>
      </c>
      <c r="BE31" s="81">
        <f t="shared" si="15"/>
        <v>0</v>
      </c>
      <c r="BF31" s="82"/>
      <c r="BG31" s="100"/>
      <c r="BH31" s="12"/>
      <c r="BI31" s="30" t="s">
        <v>38</v>
      </c>
      <c r="BJ31" s="29">
        <f t="shared" si="16"/>
        <v>0</v>
      </c>
      <c r="BK31" s="30"/>
      <c r="BL31" s="100"/>
      <c r="BM31" s="12"/>
      <c r="BN31" s="30" t="s">
        <v>38</v>
      </c>
      <c r="BO31" s="29">
        <f t="shared" si="17"/>
        <v>0</v>
      </c>
      <c r="BP31" s="30"/>
      <c r="BQ31" s="458"/>
      <c r="BR31" s="12"/>
      <c r="BS31" s="12"/>
      <c r="BT31" s="12"/>
      <c r="BU31" s="12"/>
      <c r="BV31" s="12"/>
      <c r="BW31" s="12"/>
      <c r="BX31" s="67" t="s">
        <v>27</v>
      </c>
      <c r="BY31" s="45">
        <f>IF(BY30&gt;0,ROUNDDOWN(BY27*BY30*BY28/BY29,0),0)</f>
        <v>0</v>
      </c>
      <c r="BZ31" s="45">
        <f>IF(BZ30&gt;0,ROUNDDOWN(BZ27*BZ30*BZ28/BZ29,0),0)</f>
        <v>0</v>
      </c>
      <c r="CA31" s="45">
        <f>IF(CA30&gt;0,ROUNDDOWN(CA27*CA30*CA28/CA29,0),0)</f>
        <v>0</v>
      </c>
      <c r="CB31" s="45">
        <f>IF(CB30&gt;0,ROUNDDOWN(CB27*CB30*CB28/CB29,0),0)</f>
        <v>0</v>
      </c>
      <c r="CC31" s="576">
        <v>0</v>
      </c>
      <c r="CD31" s="4"/>
      <c r="CE31" s="4"/>
      <c r="CF31" s="4"/>
      <c r="CG31" s="4"/>
      <c r="CH31" s="4"/>
      <c r="CI31" s="13"/>
      <c r="CK31" s="1489"/>
      <c r="CL31" s="335" t="s">
        <v>185</v>
      </c>
      <c r="CM31" s="336">
        <f t="shared" ref="CM31:CM40" si="23">CM15-CP48-CP66-CP103</f>
        <v>1857</v>
      </c>
      <c r="CN31" s="337"/>
      <c r="CO31" s="298"/>
      <c r="CP31" s="292"/>
      <c r="CQ31" s="292"/>
      <c r="CR31" s="308"/>
    </row>
    <row r="32" spans="1:96" ht="18" customHeight="1">
      <c r="A32" s="200"/>
      <c r="B32" s="75" t="s">
        <v>118</v>
      </c>
      <c r="C32" s="12"/>
      <c r="D32" s="160"/>
      <c r="E32" s="161"/>
      <c r="F32" s="12"/>
      <c r="G32" s="50"/>
      <c r="H32" s="162"/>
      <c r="I32" s="159"/>
      <c r="J32" s="50"/>
      <c r="K32" s="180"/>
      <c r="L32" s="12"/>
      <c r="M32" s="86"/>
      <c r="N32" s="86"/>
      <c r="O32" s="181"/>
      <c r="P32" s="181"/>
      <c r="Q32" s="156"/>
      <c r="R32" s="157"/>
      <c r="S32" s="49"/>
      <c r="T32" s="50"/>
      <c r="U32" s="182"/>
      <c r="V32" s="50"/>
      <c r="W32" s="4"/>
      <c r="X32" s="26"/>
      <c r="Y32" s="170"/>
      <c r="Z32" s="185"/>
      <c r="AA32" s="26"/>
      <c r="AB32" s="26"/>
      <c r="AC32" s="491"/>
      <c r="AD32" s="26"/>
      <c r="AE32" s="486"/>
      <c r="AF32" s="234"/>
      <c r="AG32" s="26"/>
      <c r="AH32" s="26"/>
      <c r="AI32" s="173"/>
      <c r="AJ32" s="179"/>
      <c r="AK32" s="179"/>
      <c r="AL32" s="179"/>
      <c r="AM32" s="179"/>
      <c r="AN32" s="174"/>
      <c r="AO32" s="483"/>
      <c r="AP32" s="483"/>
      <c r="AQ32" s="484"/>
      <c r="AR32" s="484"/>
      <c r="AS32" s="179"/>
      <c r="AT32" s="378"/>
      <c r="AU32" s="469">
        <f>IF($AG$2&gt;0,"限度超過",0)</f>
        <v>0</v>
      </c>
      <c r="AV32" s="377"/>
      <c r="AW32" s="379" t="str">
        <f>IF(AW30=AW31,"OK","エラー")</f>
        <v>OK</v>
      </c>
      <c r="AX32" s="376"/>
      <c r="AY32" s="408"/>
      <c r="AZ32" s="317"/>
      <c r="BA32" s="316"/>
      <c r="BB32" s="409"/>
      <c r="BC32" s="376"/>
      <c r="BD32" s="449"/>
      <c r="BE32" s="26"/>
      <c r="BF32" s="4" t="s">
        <v>257</v>
      </c>
      <c r="BH32" s="12"/>
      <c r="BJ32" s="26"/>
      <c r="BM32" s="12"/>
      <c r="BO32" s="26"/>
      <c r="BQ32" s="459"/>
      <c r="BR32" s="12"/>
      <c r="BS32" s="12"/>
      <c r="BT32" s="12"/>
      <c r="BU32" s="12"/>
      <c r="BV32" s="12"/>
      <c r="BW32" s="12"/>
      <c r="BX32" s="32" t="s">
        <v>340</v>
      </c>
      <c r="BY32" s="576">
        <f>IF(入力画面!E17=1,1,0)</f>
        <v>0</v>
      </c>
      <c r="BZ32" s="576">
        <f>IF($BY$32=1,ROUNDDOWN(CF12*BZ28/BZ29,0),0)</f>
        <v>0</v>
      </c>
      <c r="CA32" s="576">
        <f>IF($BY$32=1,ROUNDDOWN(CG12*CA28/CA29,0),0)</f>
        <v>0</v>
      </c>
      <c r="CB32" s="576">
        <f>IF($BY$32=1,ROUNDDOWN(CH12*CB28/CB29,0),0)</f>
        <v>0</v>
      </c>
      <c r="CC32" s="576">
        <f>IF($BY$32=1,ROUNDDOWN(CE12*CC28/CC29,0),0)</f>
        <v>0</v>
      </c>
      <c r="CD32" s="4"/>
      <c r="CE32" s="4"/>
      <c r="CF32" s="4"/>
      <c r="CG32" s="4"/>
      <c r="CH32" s="4"/>
      <c r="CI32" s="13"/>
      <c r="CK32" s="1489"/>
      <c r="CL32" s="335" t="s">
        <v>186</v>
      </c>
      <c r="CM32" s="336">
        <f t="shared" si="23"/>
        <v>1560</v>
      </c>
      <c r="CN32" s="337"/>
      <c r="CO32" s="298"/>
      <c r="CP32" s="292"/>
      <c r="CQ32" s="292"/>
      <c r="CR32" s="308"/>
    </row>
    <row r="33" spans="1:96" ht="18" customHeight="1">
      <c r="A33" s="58" t="s">
        <v>1</v>
      </c>
      <c r="B33" s="52"/>
      <c r="C33" s="187">
        <f>IF(H30&gt;0,$X$13,0)</f>
        <v>0</v>
      </c>
      <c r="D33" s="201" t="s">
        <v>6</v>
      </c>
      <c r="E33" s="60" t="s">
        <v>131</v>
      </c>
      <c r="F33" s="1377">
        <f>K27</f>
        <v>0</v>
      </c>
      <c r="G33" s="1377"/>
      <c r="H33" s="214" t="s">
        <v>5</v>
      </c>
      <c r="I33" s="1388" t="s">
        <v>14</v>
      </c>
      <c r="J33" s="1388"/>
      <c r="K33" s="1377">
        <f>C33*F33</f>
        <v>0</v>
      </c>
      <c r="L33" s="1377"/>
      <c r="M33" s="202" t="s">
        <v>6</v>
      </c>
      <c r="N33" s="202"/>
      <c r="O33" s="203"/>
      <c r="P33" s="203"/>
      <c r="Q33" s="63"/>
      <c r="R33" s="204"/>
      <c r="S33" s="59"/>
      <c r="T33" s="27"/>
      <c r="U33" s="205"/>
      <c r="V33" s="27"/>
      <c r="W33" s="186"/>
      <c r="X33" s="187"/>
      <c r="Y33" s="206"/>
      <c r="Z33" s="163"/>
      <c r="AA33" s="26"/>
      <c r="AB33" s="26"/>
      <c r="AC33" s="491"/>
      <c r="AD33" s="26"/>
      <c r="AE33" s="486"/>
      <c r="AF33" s="235"/>
      <c r="AG33" s="26"/>
      <c r="AH33" s="26"/>
      <c r="AI33" s="173"/>
      <c r="AJ33" s="179"/>
      <c r="AK33" s="179"/>
      <c r="AL33" s="179"/>
      <c r="AM33" s="179"/>
      <c r="AN33" s="175"/>
      <c r="AO33" s="1528" t="s">
        <v>249</v>
      </c>
      <c r="AP33" s="1528"/>
      <c r="AQ33" s="484"/>
      <c r="AR33" s="484"/>
      <c r="AS33" s="179"/>
      <c r="AT33" s="1475" t="s">
        <v>242</v>
      </c>
      <c r="AU33" s="1475"/>
      <c r="AV33" s="381"/>
      <c r="AW33" s="381"/>
      <c r="AX33" s="376"/>
      <c r="AY33" s="1495" t="s">
        <v>242</v>
      </c>
      <c r="AZ33" s="1475"/>
      <c r="BA33" s="316"/>
      <c r="BB33" s="409"/>
      <c r="BC33" s="376"/>
      <c r="BD33" s="449"/>
      <c r="BE33" s="26"/>
      <c r="BF33" s="4" t="s">
        <v>258</v>
      </c>
      <c r="BH33" s="12"/>
      <c r="BJ33" s="26"/>
      <c r="BM33" s="12"/>
      <c r="BO33" s="26"/>
      <c r="BQ33" s="459"/>
      <c r="BR33" s="12"/>
      <c r="BS33" s="12"/>
      <c r="BT33" s="12"/>
      <c r="BU33" s="12"/>
      <c r="BV33" s="12"/>
      <c r="BW33" s="12"/>
      <c r="BX33" s="4"/>
      <c r="BY33" s="26"/>
      <c r="BZ33" s="26"/>
      <c r="CA33" s="26"/>
      <c r="CB33" s="26"/>
      <c r="CC33" s="4"/>
      <c r="CD33" s="4"/>
      <c r="CE33" s="4"/>
      <c r="CF33" s="4"/>
      <c r="CG33" s="4"/>
      <c r="CH33" s="4"/>
      <c r="CI33" s="13"/>
      <c r="CK33" s="1489"/>
      <c r="CL33" s="335" t="s">
        <v>187</v>
      </c>
      <c r="CM33" s="336">
        <f t="shared" si="23"/>
        <v>1560</v>
      </c>
      <c r="CN33" s="337"/>
      <c r="CO33" s="298"/>
      <c r="CP33" s="292"/>
      <c r="CQ33" s="292"/>
      <c r="CR33" s="308"/>
    </row>
    <row r="34" spans="1:96" ht="18" customHeight="1">
      <c r="D34" s="101"/>
      <c r="E34" s="70"/>
      <c r="G34" s="9"/>
      <c r="H34" s="102"/>
      <c r="I34" s="5"/>
      <c r="J34" s="9"/>
      <c r="K34" s="18"/>
      <c r="M34" s="103"/>
      <c r="P34" s="103"/>
      <c r="Q34" s="70"/>
      <c r="R34" s="104"/>
      <c r="S34" s="68"/>
      <c r="T34" s="68"/>
      <c r="U34" s="68"/>
      <c r="V34" s="18"/>
      <c r="AA34" s="26"/>
      <c r="AB34" s="26"/>
      <c r="AC34" s="491"/>
      <c r="AD34" s="26"/>
      <c r="AE34" s="486"/>
      <c r="AF34" s="231"/>
      <c r="AG34" s="26"/>
      <c r="AH34" s="26"/>
      <c r="AI34" s="173"/>
      <c r="AJ34" s="173"/>
      <c r="AK34" s="173"/>
      <c r="AL34" s="173"/>
      <c r="AM34" s="173"/>
      <c r="AN34" s="173"/>
      <c r="AO34" s="321" t="s">
        <v>53</v>
      </c>
      <c r="AP34" s="343" t="s">
        <v>212</v>
      </c>
      <c r="AQ34" s="1473" t="s">
        <v>211</v>
      </c>
      <c r="AR34" s="1473"/>
      <c r="AS34" s="173"/>
      <c r="AT34" s="1474" t="s">
        <v>430</v>
      </c>
      <c r="AU34" s="1474"/>
      <c r="AV34" s="1474"/>
      <c r="AW34" s="1474"/>
      <c r="AX34" s="376"/>
      <c r="AY34" s="403" t="s">
        <v>254</v>
      </c>
      <c r="AZ34" s="1498" t="s">
        <v>255</v>
      </c>
      <c r="BA34" s="1498"/>
      <c r="BB34" s="1499"/>
      <c r="BC34" s="376"/>
      <c r="BD34" s="1426" t="s">
        <v>256</v>
      </c>
      <c r="BE34" s="1427"/>
      <c r="BF34" s="1427"/>
      <c r="BG34" s="1427"/>
      <c r="BH34" s="12"/>
      <c r="BI34" s="437" t="s">
        <v>259</v>
      </c>
      <c r="BJ34" s="1438" t="s">
        <v>260</v>
      </c>
      <c r="BK34" s="1438"/>
      <c r="BL34" s="1438"/>
      <c r="BM34" s="12"/>
      <c r="BO34" s="143" t="s">
        <v>126</v>
      </c>
      <c r="BP34" s="12" t="s">
        <v>88</v>
      </c>
      <c r="BQ34" s="446"/>
      <c r="BR34" s="12"/>
      <c r="BS34" s="12"/>
      <c r="BT34" s="12"/>
      <c r="BU34" s="12"/>
      <c r="BV34" s="12"/>
      <c r="BW34" s="12"/>
      <c r="BX34" s="4"/>
      <c r="BY34" s="4"/>
      <c r="BZ34" s="4"/>
      <c r="CA34" s="4"/>
      <c r="CB34" s="4"/>
      <c r="CC34" s="4"/>
      <c r="CD34" s="4"/>
      <c r="CE34" s="4"/>
      <c r="CF34" s="4"/>
      <c r="CG34" s="4"/>
      <c r="CH34" s="4"/>
      <c r="CI34" s="13"/>
      <c r="CK34" s="1489"/>
      <c r="CL34" s="335" t="s">
        <v>188</v>
      </c>
      <c r="CM34" s="336">
        <f t="shared" si="23"/>
        <v>1560</v>
      </c>
      <c r="CN34" s="337"/>
      <c r="CO34" s="298"/>
      <c r="CP34" s="292"/>
      <c r="CQ34" s="292"/>
      <c r="CR34" s="308"/>
    </row>
    <row r="35" spans="1:96" ht="18" customHeight="1">
      <c r="A35" s="194" t="s">
        <v>53</v>
      </c>
      <c r="B35" s="1396">
        <f>入力画面!C22</f>
        <v>0</v>
      </c>
      <c r="C35" s="1396"/>
      <c r="D35" s="1396"/>
      <c r="E35" s="196" t="s">
        <v>11</v>
      </c>
      <c r="F35" s="1398" t="s">
        <v>57</v>
      </c>
      <c r="G35" s="1398"/>
      <c r="H35" s="1398"/>
      <c r="I35" s="1380">
        <f>IF(入力画面!I24&gt;0,1,0)</f>
        <v>0</v>
      </c>
      <c r="J35" s="1381"/>
      <c r="K35" s="1515">
        <f>IF(H40=0,0,IF($K$8=0, "加入月が未入力です!！",IF($L$87=$A$87,"限度超過額に達しているため計算不可能!!",IF(U37-U36=U38,"エラー名前を入力されているが加入月未入力!！",IF(H40&gt;K37,"加入月未入力エラー!！",0)))))</f>
        <v>0</v>
      </c>
      <c r="L35" s="1516"/>
      <c r="M35" s="1516"/>
      <c r="N35" s="1516"/>
      <c r="O35" s="1516"/>
      <c r="P35" s="1516"/>
      <c r="Q35" s="1516"/>
      <c r="R35" s="1516"/>
      <c r="S35" s="1517"/>
      <c r="T35" s="195" t="s">
        <v>47</v>
      </c>
      <c r="U35" s="1417">
        <f>IF(U40&gt;0,"医療分",0)</f>
        <v>0</v>
      </c>
      <c r="V35" s="1418"/>
      <c r="W35" s="1419" t="s">
        <v>46</v>
      </c>
      <c r="X35" s="1278"/>
      <c r="Y35" s="1278"/>
      <c r="Z35" s="1279"/>
      <c r="AA35" s="26"/>
      <c r="AB35" s="26"/>
      <c r="AC35" s="491"/>
      <c r="AD35" s="26"/>
      <c r="AE35" s="486"/>
      <c r="AF35" s="236" t="s">
        <v>117</v>
      </c>
      <c r="AG35" s="26"/>
      <c r="AH35" s="274">
        <f>IF(K37=0,0,IF(K37&lt;12,1,0))</f>
        <v>0</v>
      </c>
      <c r="AI35" s="173"/>
      <c r="AJ35" s="173"/>
      <c r="AK35" s="173"/>
      <c r="AL35" s="173"/>
      <c r="AM35" s="173"/>
      <c r="AN35" s="366" t="s">
        <v>146</v>
      </c>
      <c r="AO35" s="1553" t="s">
        <v>46</v>
      </c>
      <c r="AP35" s="1554"/>
      <c r="AQ35" s="1478">
        <f>IF(R37+R40=0,0,IF(K38&gt;K37,"期割がアンマッチ使用禁止↓",0))</f>
        <v>0</v>
      </c>
      <c r="AR35" s="1479"/>
      <c r="AS35" s="173"/>
      <c r="AT35" s="1494" t="s">
        <v>46</v>
      </c>
      <c r="AU35" s="1477"/>
      <c r="AV35" s="1491"/>
      <c r="AW35" s="1493"/>
      <c r="AX35" s="376"/>
      <c r="AY35" s="1476" t="s">
        <v>46</v>
      </c>
      <c r="AZ35" s="1477"/>
      <c r="BA35" s="1491">
        <f>IF($R$17+$R40=0,0,IF($K$18&gt;$K$17,"期割がアンマッチ使用禁止↓",0))</f>
        <v>0</v>
      </c>
      <c r="BB35" s="1492"/>
      <c r="BC35" s="376"/>
      <c r="BD35" s="1435" t="s">
        <v>46</v>
      </c>
      <c r="BE35" s="1434"/>
      <c r="BF35" s="1436" t="s">
        <v>87</v>
      </c>
      <c r="BG35" s="1437"/>
      <c r="BH35" s="12"/>
      <c r="BI35" s="1253" t="s">
        <v>46</v>
      </c>
      <c r="BJ35" s="1434"/>
      <c r="BK35" s="1431"/>
      <c r="BL35" s="1433"/>
      <c r="BM35" s="12"/>
      <c r="BN35" s="1253" t="s">
        <v>46</v>
      </c>
      <c r="BO35" s="1434"/>
      <c r="BP35" s="1431"/>
      <c r="BQ35" s="1432"/>
      <c r="BR35" s="12"/>
      <c r="BS35" s="12"/>
      <c r="BT35" s="12"/>
      <c r="BU35" s="12"/>
      <c r="BV35" s="12"/>
      <c r="BW35" s="12"/>
      <c r="BX35" s="4"/>
      <c r="BY35" s="4"/>
      <c r="BZ35" s="4"/>
      <c r="CA35" s="4"/>
      <c r="CB35" s="4"/>
      <c r="CC35" s="4"/>
      <c r="CD35" s="4"/>
      <c r="CE35" s="4"/>
      <c r="CF35" s="4"/>
      <c r="CG35" s="4"/>
      <c r="CH35" s="4"/>
      <c r="CI35" s="13"/>
      <c r="CK35" s="338"/>
      <c r="CL35" s="335" t="s">
        <v>189</v>
      </c>
      <c r="CM35" s="336">
        <f t="shared" si="23"/>
        <v>1560</v>
      </c>
      <c r="CN35" s="337"/>
      <c r="CO35" s="298"/>
      <c r="CP35" s="292"/>
      <c r="CQ35" s="292"/>
      <c r="CR35" s="308"/>
    </row>
    <row r="36" spans="1:96" ht="18" customHeight="1">
      <c r="A36" s="165"/>
      <c r="B36" s="12"/>
      <c r="C36" s="75" t="s">
        <v>33</v>
      </c>
      <c r="D36" s="12"/>
      <c r="E36" s="12"/>
      <c r="F36" s="1394" t="s">
        <v>433</v>
      </c>
      <c r="G36" s="1394"/>
      <c r="H36" s="1394"/>
      <c r="I36" s="1380">
        <f>IF(入力画面!I25&gt;0,1,0)</f>
        <v>0</v>
      </c>
      <c r="J36" s="1381"/>
      <c r="K36" s="76" t="s">
        <v>9</v>
      </c>
      <c r="L36" s="12"/>
      <c r="M36" s="1551"/>
      <c r="N36" s="1551"/>
      <c r="O36" s="1551"/>
      <c r="P36" s="1551"/>
      <c r="Q36" s="1551"/>
      <c r="R36" s="1551"/>
      <c r="S36" s="1552"/>
      <c r="T36" s="72" t="s">
        <v>30</v>
      </c>
      <c r="U36" s="105">
        <f>R37+R40</f>
        <v>0</v>
      </c>
      <c r="V36" s="88" t="s">
        <v>6</v>
      </c>
      <c r="W36" s="80" t="s">
        <v>34</v>
      </c>
      <c r="X36" s="29">
        <f t="shared" ref="X36:X41" si="24">IF($AH$13&gt;0,0,AZ36)</f>
        <v>0</v>
      </c>
      <c r="Y36" s="80" t="s">
        <v>39</v>
      </c>
      <c r="Z36" s="31">
        <f>IF($AH$13&gt;0,0,BB36)</f>
        <v>0</v>
      </c>
      <c r="AA36" s="26"/>
      <c r="AB36" s="26"/>
      <c r="AC36" s="491"/>
      <c r="AD36" s="26"/>
      <c r="AE36" s="486"/>
      <c r="AF36" s="217">
        <f>AF37+AF40+AF43</f>
        <v>0</v>
      </c>
      <c r="AG36" s="26"/>
      <c r="AH36" s="26"/>
      <c r="AI36" s="173"/>
      <c r="AJ36" s="173"/>
      <c r="AK36" s="173"/>
      <c r="AL36" s="173"/>
      <c r="AM36" s="173"/>
      <c r="AN36" s="173"/>
      <c r="AO36" s="322" t="s">
        <v>34</v>
      </c>
      <c r="AP36" s="323">
        <f>AR40-(AP37+AP38+AP39+AP40+AP41+AR36+AR37+AR38+AR39)</f>
        <v>0</v>
      </c>
      <c r="AQ36" s="324" t="s">
        <v>39</v>
      </c>
      <c r="AR36" s="355">
        <f>ROUNDDOWN(AR40/10,-2)</f>
        <v>0</v>
      </c>
      <c r="AS36" s="173"/>
      <c r="AT36" s="313" t="s">
        <v>34</v>
      </c>
      <c r="AU36" s="374">
        <f t="shared" ref="AU36:AU41" si="25">IF($AG$2&gt;0,"限度超過",AP36-AZ125-AZ302)</f>
        <v>0</v>
      </c>
      <c r="AV36" s="311" t="s">
        <v>39</v>
      </c>
      <c r="AW36" s="375">
        <f>IF($AG$2&gt;0,"限度超過",AR36-BB125-BB302)</f>
        <v>0</v>
      </c>
      <c r="AX36" s="376"/>
      <c r="AY36" s="404" t="s">
        <v>34</v>
      </c>
      <c r="AZ36" s="310">
        <f t="shared" ref="AZ36:AZ41" si="26">AU36</f>
        <v>0</v>
      </c>
      <c r="BA36" s="311" t="s">
        <v>39</v>
      </c>
      <c r="BB36" s="405">
        <f>AW36</f>
        <v>0</v>
      </c>
      <c r="BC36" s="376"/>
      <c r="BD36" s="448" t="s">
        <v>34</v>
      </c>
      <c r="BE36" s="81">
        <f t="shared" ref="BE36:BE41" si="27">BE26</f>
        <v>0</v>
      </c>
      <c r="BF36" s="82" t="s">
        <v>39</v>
      </c>
      <c r="BG36" s="29">
        <f>BG26</f>
        <v>0</v>
      </c>
      <c r="BH36" s="12"/>
      <c r="BI36" s="80" t="s">
        <v>34</v>
      </c>
      <c r="BJ36" s="29">
        <f t="shared" ref="BJ36:BJ41" si="28">IF($A$87=$L$87,"限度超過",IF(BE36=0,0,BE36/$S$5))</f>
        <v>0</v>
      </c>
      <c r="BK36" s="80" t="s">
        <v>39</v>
      </c>
      <c r="BL36" s="29">
        <f>IF($A$87=$L$87,"限度超過",IF(BG36=0,0,BG36/$S$5))</f>
        <v>0</v>
      </c>
      <c r="BM36" s="12"/>
      <c r="BN36" s="30" t="s">
        <v>34</v>
      </c>
      <c r="BO36" s="29">
        <f t="shared" ref="BO36:BO41" si="29">IF($A$87=$L$87,"限度超過",IF($S$5&lt;=2,0,BJ36))</f>
        <v>0</v>
      </c>
      <c r="BP36" s="80" t="s">
        <v>39</v>
      </c>
      <c r="BQ36" s="457">
        <f>IF($A$87=$L$87,"限度超過",IF($S$5&lt;=2,0,BL36))</f>
        <v>0</v>
      </c>
      <c r="BR36" s="12"/>
      <c r="BS36" s="12"/>
      <c r="BT36" s="12"/>
      <c r="BU36" s="12"/>
      <c r="BV36" s="12"/>
      <c r="BW36" s="12"/>
      <c r="BX36" s="32"/>
      <c r="BY36" s="33" t="str">
        <f>BY26</f>
        <v>料率</v>
      </c>
      <c r="BZ36" s="33">
        <f>BZ26</f>
        <v>7</v>
      </c>
      <c r="CA36" s="33">
        <f>CA26</f>
        <v>5</v>
      </c>
      <c r="CB36" s="33">
        <f>CB26</f>
        <v>2</v>
      </c>
      <c r="CC36" s="576" t="s">
        <v>341</v>
      </c>
      <c r="CD36" s="4"/>
      <c r="CE36" s="4"/>
      <c r="CF36" s="4"/>
      <c r="CG36" s="4"/>
      <c r="CH36" s="4"/>
      <c r="CI36" s="13"/>
      <c r="CK36" s="338"/>
      <c r="CL36" s="335" t="s">
        <v>190</v>
      </c>
      <c r="CM36" s="336">
        <f t="shared" si="23"/>
        <v>1560</v>
      </c>
      <c r="CN36" s="337"/>
      <c r="CO36" s="298"/>
      <c r="CP36" s="292"/>
      <c r="CQ36" s="292"/>
      <c r="CR36" s="308"/>
    </row>
    <row r="37" spans="1:96" ht="18" customHeight="1">
      <c r="A37" s="1378" t="s">
        <v>0</v>
      </c>
      <c r="B37" s="1556" t="s">
        <v>129</v>
      </c>
      <c r="C37" s="1382">
        <f>入力画面!R24</f>
        <v>0</v>
      </c>
      <c r="D37" s="1010" t="s">
        <v>58</v>
      </c>
      <c r="E37" s="1389">
        <f>IF(H40&gt;0,$CE$11, 0)</f>
        <v>0</v>
      </c>
      <c r="F37" s="1395" t="s">
        <v>22</v>
      </c>
      <c r="G37" s="1010" t="s">
        <v>59</v>
      </c>
      <c r="H37" s="85">
        <f>IF(H40&gt;0,$CE$7,0)</f>
        <v>0</v>
      </c>
      <c r="I37" s="1385" t="s">
        <v>22</v>
      </c>
      <c r="J37" s="1010" t="s">
        <v>59</v>
      </c>
      <c r="K37" s="51">
        <f>入力画面!I23</f>
        <v>0</v>
      </c>
      <c r="L37" s="52" t="s">
        <v>5</v>
      </c>
      <c r="M37" s="1395"/>
      <c r="N37" s="1527"/>
      <c r="O37" s="86"/>
      <c r="P37" s="1392" t="s">
        <v>130</v>
      </c>
      <c r="Q37" s="1392"/>
      <c r="R37" s="1391">
        <f>ROUNDDOWN(IF(((C37-E37)*H37/H38)*K37/K38&lt;0,0,((C37-E37)*H37/H38)*K37/K38),0)</f>
        <v>0</v>
      </c>
      <c r="S37" s="1524" t="s">
        <v>6</v>
      </c>
      <c r="T37" s="72" t="s">
        <v>1</v>
      </c>
      <c r="U37" s="105">
        <f>IF(H40=0,0,K43)</f>
        <v>0</v>
      </c>
      <c r="V37" s="88" t="s">
        <v>6</v>
      </c>
      <c r="W37" s="30" t="s">
        <v>35</v>
      </c>
      <c r="X37" s="29">
        <f t="shared" si="24"/>
        <v>0</v>
      </c>
      <c r="Y37" s="30" t="s">
        <v>40</v>
      </c>
      <c r="Z37" s="31">
        <f>IF($AH$13&gt;0,0,BB37)</f>
        <v>0</v>
      </c>
      <c r="AA37" s="4"/>
      <c r="AB37" s="4"/>
      <c r="AC37" s="489"/>
      <c r="AD37" s="4"/>
      <c r="AE37" s="74"/>
      <c r="AF37" s="1416">
        <f>ROUNDDOWN(IF(((C37-E37)*H37/H38)&lt;0,0,((C37-E37)*H37/H38)),0)</f>
        <v>0</v>
      </c>
      <c r="AG37" s="4"/>
      <c r="AH37" s="4"/>
      <c r="AI37" s="174"/>
      <c r="AJ37" s="174"/>
      <c r="AK37" s="174"/>
      <c r="AL37" s="174"/>
      <c r="AM37" s="174"/>
      <c r="AN37" s="173"/>
      <c r="AO37" s="325" t="s">
        <v>35</v>
      </c>
      <c r="AP37" s="323">
        <f>ROUNDDOWN(AR40/10,-2)</f>
        <v>0</v>
      </c>
      <c r="AQ37" s="324" t="s">
        <v>40</v>
      </c>
      <c r="AR37" s="355">
        <f>ROUNDDOWN(AR40/10,-2)</f>
        <v>0</v>
      </c>
      <c r="AS37" s="174"/>
      <c r="AT37" s="313" t="s">
        <v>35</v>
      </c>
      <c r="AU37" s="374">
        <f t="shared" si="25"/>
        <v>0</v>
      </c>
      <c r="AV37" s="311" t="s">
        <v>40</v>
      </c>
      <c r="AW37" s="375">
        <f>IF($AG$2&gt;0,"限度超過",AR37-BB126-BB303)</f>
        <v>0</v>
      </c>
      <c r="AX37" s="376"/>
      <c r="AY37" s="406" t="s">
        <v>35</v>
      </c>
      <c r="AZ37" s="310">
        <f t="shared" si="26"/>
        <v>0</v>
      </c>
      <c r="BA37" s="311" t="s">
        <v>40</v>
      </c>
      <c r="BB37" s="405">
        <f>AW37</f>
        <v>0</v>
      </c>
      <c r="BC37" s="376"/>
      <c r="BD37" s="448" t="s">
        <v>35</v>
      </c>
      <c r="BE37" s="81">
        <f t="shared" si="27"/>
        <v>0</v>
      </c>
      <c r="BF37" s="82" t="s">
        <v>40</v>
      </c>
      <c r="BG37" s="29">
        <f>BG27</f>
        <v>0</v>
      </c>
      <c r="BH37" s="12"/>
      <c r="BI37" s="30" t="s">
        <v>35</v>
      </c>
      <c r="BJ37" s="29">
        <f t="shared" si="28"/>
        <v>0</v>
      </c>
      <c r="BK37" s="30" t="s">
        <v>40</v>
      </c>
      <c r="BL37" s="29">
        <f>IF($A$87=$L$87,"限度超過",IF(BG37=0,0,BG37/$S$5))</f>
        <v>0</v>
      </c>
      <c r="BM37" s="12"/>
      <c r="BN37" s="30" t="s">
        <v>35</v>
      </c>
      <c r="BO37" s="29">
        <f t="shared" si="29"/>
        <v>0</v>
      </c>
      <c r="BP37" s="30" t="s">
        <v>40</v>
      </c>
      <c r="BQ37" s="457">
        <f>IF($A$87=$L$87,"限度超過",IF($S$5&lt;=2,0,BL37))</f>
        <v>0</v>
      </c>
      <c r="BR37" s="12"/>
      <c r="BS37" s="12"/>
      <c r="BT37" s="12"/>
      <c r="BU37" s="12"/>
      <c r="BV37" s="12"/>
      <c r="BW37" s="12"/>
      <c r="BX37" s="32" t="s">
        <v>17</v>
      </c>
      <c r="BY37" s="44">
        <v>0</v>
      </c>
      <c r="BZ37" s="45">
        <f>$CF$8</f>
        <v>18250</v>
      </c>
      <c r="CA37" s="45">
        <f>$CG$8</f>
        <v>13030</v>
      </c>
      <c r="CB37" s="45">
        <f>$CH$8</f>
        <v>5220</v>
      </c>
      <c r="CC37" s="576"/>
      <c r="CD37" s="4"/>
      <c r="CE37" s="4"/>
      <c r="CF37" s="4"/>
      <c r="CG37" s="4"/>
      <c r="CH37" s="4"/>
      <c r="CI37" s="13"/>
      <c r="CK37" s="338"/>
      <c r="CL37" s="335" t="s">
        <v>191</v>
      </c>
      <c r="CM37" s="336">
        <f t="shared" si="23"/>
        <v>1560</v>
      </c>
      <c r="CN37" s="337"/>
      <c r="CO37" s="298"/>
      <c r="CP37" s="292"/>
      <c r="CQ37" s="292"/>
      <c r="CR37" s="308"/>
    </row>
    <row r="38" spans="1:96" ht="18" customHeight="1">
      <c r="A38" s="1378"/>
      <c r="B38" s="1556"/>
      <c r="C38" s="1382"/>
      <c r="D38" s="1010"/>
      <c r="E38" s="1389"/>
      <c r="F38" s="1395"/>
      <c r="G38" s="1010"/>
      <c r="H38" s="39">
        <v>100</v>
      </c>
      <c r="I38" s="1385"/>
      <c r="J38" s="1010"/>
      <c r="K38" s="55">
        <v>12</v>
      </c>
      <c r="L38" s="12" t="s">
        <v>5</v>
      </c>
      <c r="M38" s="1395"/>
      <c r="N38" s="1527"/>
      <c r="O38" s="86"/>
      <c r="P38" s="1392"/>
      <c r="Q38" s="1392"/>
      <c r="R38" s="1391"/>
      <c r="S38" s="1524"/>
      <c r="T38" s="72" t="s">
        <v>29</v>
      </c>
      <c r="U38" s="105">
        <f>U36+U37</f>
        <v>0</v>
      </c>
      <c r="V38" s="88" t="s">
        <v>6</v>
      </c>
      <c r="W38" s="30" t="s">
        <v>36</v>
      </c>
      <c r="X38" s="29">
        <f t="shared" si="24"/>
        <v>0</v>
      </c>
      <c r="Y38" s="30" t="s">
        <v>41</v>
      </c>
      <c r="Z38" s="31">
        <f>IF($AH$13&gt;0,0,BB38)</f>
        <v>0</v>
      </c>
      <c r="AB38" s="4"/>
      <c r="AC38" s="489"/>
      <c r="AD38" s="4"/>
      <c r="AE38" s="74"/>
      <c r="AF38" s="1416"/>
      <c r="AG38" s="4"/>
      <c r="AH38" s="4"/>
      <c r="AI38" s="174"/>
      <c r="AJ38" s="174"/>
      <c r="AK38" s="174"/>
      <c r="AL38" s="174"/>
      <c r="AM38" s="174"/>
      <c r="AN38" s="173"/>
      <c r="AO38" s="325" t="s">
        <v>36</v>
      </c>
      <c r="AP38" s="323">
        <f>ROUNDDOWN(AR40/10,-2)</f>
        <v>0</v>
      </c>
      <c r="AQ38" s="324" t="s">
        <v>41</v>
      </c>
      <c r="AR38" s="355">
        <f>ROUNDDOWN(AR40/10,-2)</f>
        <v>0</v>
      </c>
      <c r="AS38" s="174"/>
      <c r="AT38" s="313" t="s">
        <v>36</v>
      </c>
      <c r="AU38" s="374">
        <f t="shared" si="25"/>
        <v>0</v>
      </c>
      <c r="AV38" s="311" t="s">
        <v>41</v>
      </c>
      <c r="AW38" s="375">
        <f>IF($AG$2&gt;0,"限度超過",AR38-BB127-BB304)</f>
        <v>0</v>
      </c>
      <c r="AX38" s="376"/>
      <c r="AY38" s="406" t="s">
        <v>36</v>
      </c>
      <c r="AZ38" s="310">
        <f t="shared" si="26"/>
        <v>0</v>
      </c>
      <c r="BA38" s="311" t="s">
        <v>41</v>
      </c>
      <c r="BB38" s="405">
        <f>AW38</f>
        <v>0</v>
      </c>
      <c r="BC38" s="376"/>
      <c r="BD38" s="448" t="s">
        <v>36</v>
      </c>
      <c r="BE38" s="81">
        <f t="shared" si="27"/>
        <v>0</v>
      </c>
      <c r="BF38" s="82" t="s">
        <v>41</v>
      </c>
      <c r="BG38" s="29">
        <f>BG28</f>
        <v>0</v>
      </c>
      <c r="BH38" s="12"/>
      <c r="BI38" s="30" t="s">
        <v>36</v>
      </c>
      <c r="BJ38" s="29">
        <f t="shared" si="28"/>
        <v>0</v>
      </c>
      <c r="BK38" s="30" t="s">
        <v>41</v>
      </c>
      <c r="BL38" s="29">
        <f>IF($A$87=$L$87,"限度超過",IF(BG38=0,0,BG38/$S$5))</f>
        <v>0</v>
      </c>
      <c r="BM38" s="12"/>
      <c r="BN38" s="30" t="s">
        <v>36</v>
      </c>
      <c r="BO38" s="29">
        <f t="shared" si="29"/>
        <v>0</v>
      </c>
      <c r="BP38" s="30" t="s">
        <v>41</v>
      </c>
      <c r="BQ38" s="457">
        <f>IF($A$87=$L$87,"限度超過",IF($S$5&lt;=2,0,BL38))</f>
        <v>0</v>
      </c>
      <c r="BR38" s="12"/>
      <c r="BS38" s="12"/>
      <c r="BT38" s="12"/>
      <c r="BU38" s="12"/>
      <c r="BV38" s="12"/>
      <c r="BW38" s="12"/>
      <c r="BX38" s="32" t="s">
        <v>8</v>
      </c>
      <c r="BY38" s="45">
        <f>K40</f>
        <v>0</v>
      </c>
      <c r="BZ38" s="45">
        <f t="shared" ref="BZ38:CB40" si="30">BY38</f>
        <v>0</v>
      </c>
      <c r="CA38" s="45">
        <f t="shared" si="30"/>
        <v>0</v>
      </c>
      <c r="CB38" s="45">
        <f t="shared" si="30"/>
        <v>0</v>
      </c>
      <c r="CC38" s="576">
        <f>CB38</f>
        <v>0</v>
      </c>
      <c r="CD38" s="4"/>
      <c r="CE38" s="4"/>
      <c r="CF38" s="4"/>
      <c r="CG38" s="4"/>
      <c r="CH38" s="4"/>
      <c r="CI38" s="13"/>
      <c r="CK38" s="338"/>
      <c r="CL38" s="335" t="s">
        <v>192</v>
      </c>
      <c r="CM38" s="336">
        <f t="shared" si="23"/>
        <v>1561</v>
      </c>
      <c r="CN38" s="337"/>
      <c r="CO38" s="298"/>
      <c r="CP38" s="292"/>
      <c r="CQ38" s="292"/>
      <c r="CR38" s="308"/>
    </row>
    <row r="39" spans="1:96" ht="18" customHeight="1">
      <c r="A39" s="165"/>
      <c r="B39" s="12"/>
      <c r="C39" s="50"/>
      <c r="D39" s="12"/>
      <c r="E39" s="12"/>
      <c r="F39" s="12"/>
      <c r="G39" s="12"/>
      <c r="H39" s="91"/>
      <c r="I39" s="75"/>
      <c r="J39" s="75"/>
      <c r="K39" s="92"/>
      <c r="L39" s="75"/>
      <c r="M39" s="93"/>
      <c r="N39" s="578">
        <f>IF(入力画面!E22=1,"未就学児",0)</f>
        <v>0</v>
      </c>
      <c r="O39" s="42">
        <f>IF(H40=0,0,$D$5)</f>
        <v>0</v>
      </c>
      <c r="P39" s="463">
        <f>IF(O40=0,0,"軽減額")</f>
        <v>0</v>
      </c>
      <c r="Q39" s="12"/>
      <c r="R39" s="95"/>
      <c r="S39" s="49"/>
      <c r="T39" s="96" t="s">
        <v>31</v>
      </c>
      <c r="U39" s="105">
        <f>ROUNDDOWN(U38,-2)</f>
        <v>0</v>
      </c>
      <c r="V39" s="88" t="s">
        <v>6</v>
      </c>
      <c r="W39" s="30" t="s">
        <v>43</v>
      </c>
      <c r="X39" s="29">
        <f t="shared" si="24"/>
        <v>0</v>
      </c>
      <c r="Y39" s="30" t="s">
        <v>42</v>
      </c>
      <c r="Z39" s="31">
        <f>IF($AH$13&gt;0,0,BB39)</f>
        <v>0</v>
      </c>
      <c r="AA39" s="73"/>
      <c r="AB39" s="73"/>
      <c r="AC39" s="223"/>
      <c r="AD39" s="73"/>
      <c r="AE39" s="497" t="str">
        <f>IF($AH$13&gt;0,"－",IF($AG$2&gt;0,"限度超過",IF(U40=Z40,"OK","ｱﾝﾏｯﾁ")))</f>
        <v>OK</v>
      </c>
      <c r="AF39" s="496"/>
      <c r="AG39" s="73"/>
      <c r="AI39" s="175"/>
      <c r="AJ39" s="175"/>
      <c r="AK39" s="175"/>
      <c r="AL39" s="175"/>
      <c r="AM39" s="175"/>
      <c r="AN39" s="174"/>
      <c r="AO39" s="325" t="s">
        <v>43</v>
      </c>
      <c r="AP39" s="323">
        <f>ROUNDDOWN(AR40/10,-2)</f>
        <v>0</v>
      </c>
      <c r="AQ39" s="324" t="s">
        <v>42</v>
      </c>
      <c r="AR39" s="355">
        <f>ROUNDDOWN(AR40/10,-2)</f>
        <v>0</v>
      </c>
      <c r="AS39" s="175"/>
      <c r="AT39" s="313" t="s">
        <v>43</v>
      </c>
      <c r="AU39" s="374">
        <f t="shared" si="25"/>
        <v>0</v>
      </c>
      <c r="AV39" s="311" t="s">
        <v>42</v>
      </c>
      <c r="AW39" s="375">
        <f>IF($AG$2&gt;0,"限度超過",AR39-BB128-BB305)</f>
        <v>0</v>
      </c>
      <c r="AX39" s="376"/>
      <c r="AY39" s="406" t="s">
        <v>43</v>
      </c>
      <c r="AZ39" s="310">
        <f t="shared" si="26"/>
        <v>0</v>
      </c>
      <c r="BA39" s="311" t="s">
        <v>42</v>
      </c>
      <c r="BB39" s="405">
        <f>AW39</f>
        <v>0</v>
      </c>
      <c r="BC39" s="376"/>
      <c r="BD39" s="448" t="s">
        <v>43</v>
      </c>
      <c r="BE39" s="81">
        <f t="shared" si="27"/>
        <v>0</v>
      </c>
      <c r="BF39" s="82" t="s">
        <v>42</v>
      </c>
      <c r="BG39" s="29">
        <f>BG29</f>
        <v>0</v>
      </c>
      <c r="BH39" s="12"/>
      <c r="BI39" s="30" t="s">
        <v>43</v>
      </c>
      <c r="BJ39" s="29">
        <f t="shared" si="28"/>
        <v>0</v>
      </c>
      <c r="BK39" s="30" t="s">
        <v>42</v>
      </c>
      <c r="BL39" s="29">
        <f>IF($A$87=$L$87,"限度超過",IF(BG39=0,0,BG39/$S$5))</f>
        <v>0</v>
      </c>
      <c r="BM39" s="12"/>
      <c r="BN39" s="30" t="s">
        <v>43</v>
      </c>
      <c r="BO39" s="29">
        <f t="shared" si="29"/>
        <v>0</v>
      </c>
      <c r="BP39" s="30" t="s">
        <v>42</v>
      </c>
      <c r="BQ39" s="457">
        <f>IF($A$87=$L$87,"限度超過",IF($S$5&lt;=2,0,BL39))</f>
        <v>0</v>
      </c>
      <c r="BR39" s="12"/>
      <c r="BS39" s="12"/>
      <c r="BT39" s="12"/>
      <c r="BU39" s="12"/>
      <c r="BV39" s="12"/>
      <c r="BW39" s="12"/>
      <c r="BX39" s="32" t="s">
        <v>25</v>
      </c>
      <c r="BY39" s="45">
        <f>K41</f>
        <v>0</v>
      </c>
      <c r="BZ39" s="45">
        <f t="shared" si="30"/>
        <v>0</v>
      </c>
      <c r="CA39" s="45">
        <f t="shared" si="30"/>
        <v>0</v>
      </c>
      <c r="CB39" s="45">
        <f t="shared" si="30"/>
        <v>0</v>
      </c>
      <c r="CC39" s="576">
        <f>CB39</f>
        <v>0</v>
      </c>
      <c r="CD39" s="4"/>
      <c r="CE39" s="4"/>
      <c r="CF39" s="4"/>
      <c r="CG39" s="4"/>
      <c r="CH39" s="4"/>
      <c r="CI39" s="13"/>
      <c r="CK39" s="338"/>
      <c r="CL39" s="335" t="s">
        <v>193</v>
      </c>
      <c r="CM39" s="336">
        <f t="shared" si="23"/>
        <v>1561</v>
      </c>
      <c r="CN39" s="337"/>
      <c r="CO39" s="298"/>
      <c r="CP39" s="292"/>
      <c r="CQ39" s="292"/>
      <c r="CR39" s="308"/>
    </row>
    <row r="40" spans="1:96" ht="18" customHeight="1">
      <c r="A40" s="1378" t="s">
        <v>10</v>
      </c>
      <c r="B40" s="12"/>
      <c r="C40" s="12"/>
      <c r="D40" s="1379" t="s">
        <v>7</v>
      </c>
      <c r="E40" s="1389">
        <f>IF(H40&gt;0,$CE$8,0)</f>
        <v>0</v>
      </c>
      <c r="F40" s="97"/>
      <c r="G40" s="1010" t="s">
        <v>59</v>
      </c>
      <c r="H40" s="1390">
        <f>IF(B35=0,0,SUBTOTAL(3,B35))</f>
        <v>0</v>
      </c>
      <c r="I40" s="1385" t="s">
        <v>22</v>
      </c>
      <c r="J40" s="1010" t="s">
        <v>59</v>
      </c>
      <c r="K40" s="51">
        <f>IF(H40&gt;0,K37,0)</f>
        <v>0</v>
      </c>
      <c r="L40" s="52" t="s">
        <v>5</v>
      </c>
      <c r="M40" s="1527" t="s">
        <v>122</v>
      </c>
      <c r="N40" s="1548">
        <f>IF(O40=0,0,"―")</f>
        <v>0</v>
      </c>
      <c r="O40" s="1525">
        <f>IF(H40=0,0,IF(BY42=0,IF($D$5=7,BZ41,IF($D$5=5,CA41,IF($D$5=2,CB41,CC41))),IF($D$5=7,BZ41+BZ42,IF($D$5=5,CA41+CA42,IF($D$5=2,CB41+CB42,CC41+CC42)))))</f>
        <v>0</v>
      </c>
      <c r="P40" s="1526"/>
      <c r="Q40" s="1392" t="s">
        <v>130</v>
      </c>
      <c r="R40" s="1391">
        <f>IF(H40&gt;0,IF(K37=0,0,ROUNDDOWN(((E40*H40)*K40/K41)-O40,0)),0)</f>
        <v>0</v>
      </c>
      <c r="S40" s="1520" t="s">
        <v>6</v>
      </c>
      <c r="T40" s="1537" t="s">
        <v>32</v>
      </c>
      <c r="U40" s="1522">
        <f>IF($L$87=$A$87,"限度超過!",U38)</f>
        <v>0</v>
      </c>
      <c r="V40" s="1512" t="s">
        <v>6</v>
      </c>
      <c r="W40" s="30" t="s">
        <v>37</v>
      </c>
      <c r="X40" s="29">
        <f t="shared" si="24"/>
        <v>0</v>
      </c>
      <c r="Y40" s="1313" t="s">
        <v>44</v>
      </c>
      <c r="Z40" s="1420">
        <f>IF($AH$13&gt;0,0,BB40)</f>
        <v>0</v>
      </c>
      <c r="AA40" s="26"/>
      <c r="AB40" s="26"/>
      <c r="AC40" s="491"/>
      <c r="AD40" s="26"/>
      <c r="AE40" s="497" t="str">
        <f>IF($AG$2&gt;0,"限度超過",IF(X36+X37+X38+X39+X40+X41+Z36+Z37+Z38+Z39=Z40,"OK","エラー"))</f>
        <v>OK</v>
      </c>
      <c r="AF40" s="1521">
        <f>IF(H40&gt;0,IF(K37=0,0,ROUNDDOWN((E40*H40)-O40,0)),0)</f>
        <v>0</v>
      </c>
      <c r="AG40" s="26"/>
      <c r="AI40" s="173"/>
      <c r="AJ40" s="179"/>
      <c r="AK40" s="179"/>
      <c r="AL40" s="179"/>
      <c r="AM40" s="179"/>
      <c r="AN40" s="174"/>
      <c r="AO40" s="325" t="s">
        <v>37</v>
      </c>
      <c r="AP40" s="323">
        <f>ROUNDDOWN(AR40/10,-2)</f>
        <v>0</v>
      </c>
      <c r="AQ40" s="326" t="s">
        <v>44</v>
      </c>
      <c r="AR40" s="327">
        <f>IF($AG$2&gt;0,0,IF($AH$13&gt;0,0,U40+U129+U217+U306))</f>
        <v>0</v>
      </c>
      <c r="AS40" s="179"/>
      <c r="AT40" s="313" t="s">
        <v>37</v>
      </c>
      <c r="AU40" s="374">
        <f t="shared" si="25"/>
        <v>0</v>
      </c>
      <c r="AV40" s="314" t="s">
        <v>44</v>
      </c>
      <c r="AW40" s="312">
        <f>IF($AG$2&gt;0,"限度超過",AU36+AU37+AU38+AU39+AU40+AU41+AW36+AW37+AW38+AW39)</f>
        <v>0</v>
      </c>
      <c r="AX40" s="376"/>
      <c r="AY40" s="406" t="s">
        <v>37</v>
      </c>
      <c r="AZ40" s="310">
        <f t="shared" si="26"/>
        <v>0</v>
      </c>
      <c r="BA40" s="314" t="s">
        <v>44</v>
      </c>
      <c r="BB40" s="405">
        <f>AW40</f>
        <v>0</v>
      </c>
      <c r="BC40" s="376"/>
      <c r="BD40" s="448" t="s">
        <v>37</v>
      </c>
      <c r="BE40" s="81">
        <f t="shared" si="27"/>
        <v>0</v>
      </c>
      <c r="BF40" s="440" t="s">
        <v>44</v>
      </c>
      <c r="BG40" s="29">
        <f>IF($A$87=$L$87,"限度超過",BE36+BE37+BE38+BE39+BE40+BE41+BG36+BG37+BG38+BG39)</f>
        <v>0</v>
      </c>
      <c r="BH40" s="12"/>
      <c r="BI40" s="30" t="s">
        <v>37</v>
      </c>
      <c r="BJ40" s="29">
        <f t="shared" si="28"/>
        <v>0</v>
      </c>
      <c r="BK40" s="98" t="s">
        <v>44</v>
      </c>
      <c r="BL40" s="29">
        <f>IF($A$87=$L$87,"限度超過",BJ36+BJ37+BJ38+BJ39+BJ40+BJ41+BL36+BL37+BL38+BL39)</f>
        <v>0</v>
      </c>
      <c r="BM40" s="12"/>
      <c r="BN40" s="30" t="s">
        <v>37</v>
      </c>
      <c r="BO40" s="29">
        <f t="shared" si="29"/>
        <v>0</v>
      </c>
      <c r="BP40" s="98" t="s">
        <v>44</v>
      </c>
      <c r="BQ40" s="457">
        <f>IF($A$87=$L$87,"限度超過",BO36+BO37+BO38+BO39+BO40+BO41+BQ36+BQ37+BQ38+BQ39)</f>
        <v>0</v>
      </c>
      <c r="BR40" s="12"/>
      <c r="BS40" s="12"/>
      <c r="BT40" s="12"/>
      <c r="BU40" s="12"/>
      <c r="BV40" s="12"/>
      <c r="BW40" s="12"/>
      <c r="BX40" s="32" t="s">
        <v>26</v>
      </c>
      <c r="BY40" s="26">
        <f>H40</f>
        <v>0</v>
      </c>
      <c r="BZ40" s="99">
        <f t="shared" si="30"/>
        <v>0</v>
      </c>
      <c r="CA40" s="99">
        <f t="shared" si="30"/>
        <v>0</v>
      </c>
      <c r="CB40" s="99">
        <f t="shared" si="30"/>
        <v>0</v>
      </c>
      <c r="CC40" s="576">
        <f>CB40</f>
        <v>0</v>
      </c>
      <c r="CD40" s="4"/>
      <c r="CE40" s="4"/>
      <c r="CF40" s="4"/>
      <c r="CG40" s="4"/>
      <c r="CH40" s="4"/>
      <c r="CI40" s="13"/>
      <c r="CK40" s="338"/>
      <c r="CL40" s="335" t="s">
        <v>194</v>
      </c>
      <c r="CM40" s="336">
        <f t="shared" si="23"/>
        <v>1561</v>
      </c>
      <c r="CN40" s="337"/>
      <c r="CO40" s="298"/>
      <c r="CP40" s="292"/>
      <c r="CQ40" s="292"/>
      <c r="CR40" s="308"/>
    </row>
    <row r="41" spans="1:96" ht="18" customHeight="1">
      <c r="A41" s="1378"/>
      <c r="B41" s="12"/>
      <c r="C41" s="12"/>
      <c r="D41" s="1379"/>
      <c r="E41" s="1389"/>
      <c r="F41" s="12"/>
      <c r="G41" s="1010"/>
      <c r="H41" s="1390"/>
      <c r="I41" s="1385"/>
      <c r="J41" s="1010"/>
      <c r="K41" s="180">
        <f>IF(H40&gt;0,K38,0)</f>
        <v>0</v>
      </c>
      <c r="L41" s="12" t="s">
        <v>5</v>
      </c>
      <c r="M41" s="1527"/>
      <c r="N41" s="1548"/>
      <c r="O41" s="1526"/>
      <c r="P41" s="1526"/>
      <c r="Q41" s="1392"/>
      <c r="R41" s="1391"/>
      <c r="S41" s="1520"/>
      <c r="T41" s="1537"/>
      <c r="U41" s="1522"/>
      <c r="V41" s="1512"/>
      <c r="W41" s="30" t="s">
        <v>38</v>
      </c>
      <c r="X41" s="29">
        <f t="shared" si="24"/>
        <v>0</v>
      </c>
      <c r="Y41" s="1422"/>
      <c r="Z41" s="1421"/>
      <c r="AA41" s="26"/>
      <c r="AB41" s="26"/>
      <c r="AC41" s="491"/>
      <c r="AD41" s="26"/>
      <c r="AE41" s="486"/>
      <c r="AF41" s="1416"/>
      <c r="AG41" s="26"/>
      <c r="AH41" s="26"/>
      <c r="AI41" s="173"/>
      <c r="AJ41" s="179"/>
      <c r="AK41" s="179"/>
      <c r="AL41" s="179"/>
      <c r="AM41" s="179"/>
      <c r="AN41" s="175"/>
      <c r="AO41" s="325" t="s">
        <v>38</v>
      </c>
      <c r="AP41" s="323">
        <f>ROUNDDOWN(AR40/10,-2)</f>
        <v>0</v>
      </c>
      <c r="AQ41" s="324"/>
      <c r="AR41" s="328"/>
      <c r="AS41" s="179"/>
      <c r="AT41" s="313" t="s">
        <v>38</v>
      </c>
      <c r="AU41" s="374">
        <f t="shared" si="25"/>
        <v>0</v>
      </c>
      <c r="AV41" s="311" t="s">
        <v>75</v>
      </c>
      <c r="AW41" s="329">
        <f>IF($AG$2&gt;0,"限度超過",U40)</f>
        <v>0</v>
      </c>
      <c r="AX41" s="376"/>
      <c r="AY41" s="406" t="s">
        <v>38</v>
      </c>
      <c r="AZ41" s="310">
        <f t="shared" si="26"/>
        <v>0</v>
      </c>
      <c r="BA41" s="311"/>
      <c r="BB41" s="407"/>
      <c r="BC41" s="376"/>
      <c r="BD41" s="448" t="s">
        <v>38</v>
      </c>
      <c r="BE41" s="81">
        <f t="shared" si="27"/>
        <v>0</v>
      </c>
      <c r="BF41" s="82"/>
      <c r="BG41" s="100"/>
      <c r="BH41" s="12"/>
      <c r="BI41" s="30" t="s">
        <v>38</v>
      </c>
      <c r="BJ41" s="29">
        <f t="shared" si="28"/>
        <v>0</v>
      </c>
      <c r="BK41" s="30"/>
      <c r="BL41" s="100"/>
      <c r="BM41" s="12"/>
      <c r="BN41" s="30" t="s">
        <v>38</v>
      </c>
      <c r="BO41" s="29">
        <f t="shared" si="29"/>
        <v>0</v>
      </c>
      <c r="BP41" s="30"/>
      <c r="BQ41" s="458"/>
      <c r="BR41" s="12"/>
      <c r="BS41" s="12"/>
      <c r="BT41" s="12"/>
      <c r="BU41" s="12"/>
      <c r="BV41" s="12"/>
      <c r="BW41" s="12"/>
      <c r="BX41" s="67" t="s">
        <v>27</v>
      </c>
      <c r="BY41" s="45">
        <f>IF(BY40&gt;0,ROUNDDOWN(BY37*BY40*BY38/BY39,0),0)</f>
        <v>0</v>
      </c>
      <c r="BZ41" s="45">
        <f>IF(BZ40&gt;0,ROUNDDOWN(BZ37*BZ40*BZ38/BZ39,0),0)</f>
        <v>0</v>
      </c>
      <c r="CA41" s="45">
        <f>IF(CA40&gt;0,ROUNDDOWN(CA37*CA40*CA38/CA39,0),0)</f>
        <v>0</v>
      </c>
      <c r="CB41" s="45">
        <f>IF(CB40&gt;0,ROUNDDOWN(CB37*CB40*CB38/CB39,0),0)</f>
        <v>0</v>
      </c>
      <c r="CC41" s="576">
        <v>0</v>
      </c>
      <c r="CD41" s="4"/>
      <c r="CE41" s="4"/>
      <c r="CF41" s="4"/>
      <c r="CG41" s="4"/>
      <c r="CH41" s="4"/>
      <c r="CI41" s="13"/>
      <c r="CK41" s="338"/>
      <c r="CL41" s="335"/>
      <c r="CM41" s="339" t="s">
        <v>206</v>
      </c>
      <c r="CN41" s="337"/>
      <c r="CO41" s="298"/>
      <c r="CP41" s="292"/>
      <c r="CQ41" s="292"/>
      <c r="CR41" s="308"/>
    </row>
    <row r="42" spans="1:96" ht="18" customHeight="1">
      <c r="A42" s="200"/>
      <c r="B42" s="75" t="s">
        <v>118</v>
      </c>
      <c r="C42" s="12"/>
      <c r="D42" s="160"/>
      <c r="E42" s="161"/>
      <c r="F42" s="12"/>
      <c r="G42" s="50"/>
      <c r="H42" s="162"/>
      <c r="I42" s="159"/>
      <c r="J42" s="50"/>
      <c r="K42" s="180"/>
      <c r="L42" s="12"/>
      <c r="M42" s="86"/>
      <c r="N42" s="86"/>
      <c r="O42" s="181"/>
      <c r="P42" s="181"/>
      <c r="Q42" s="156"/>
      <c r="R42" s="157"/>
      <c r="S42" s="49"/>
      <c r="T42" s="50"/>
      <c r="U42" s="182"/>
      <c r="V42" s="50"/>
      <c r="W42" s="4"/>
      <c r="X42" s="26"/>
      <c r="Y42" s="170"/>
      <c r="Z42" s="185"/>
      <c r="AA42" s="26"/>
      <c r="AB42" s="26"/>
      <c r="AC42" s="491"/>
      <c r="AD42" s="26"/>
      <c r="AE42" s="486"/>
      <c r="AF42" s="234"/>
      <c r="AG42" s="26"/>
      <c r="AH42" s="26"/>
      <c r="AI42" s="173"/>
      <c r="AJ42" s="173"/>
      <c r="AK42" s="173"/>
      <c r="AL42" s="173"/>
      <c r="AM42" s="173"/>
      <c r="AN42" s="173"/>
      <c r="AO42" s="483"/>
      <c r="AP42" s="483"/>
      <c r="AQ42" s="484"/>
      <c r="AR42" s="484"/>
      <c r="AS42" s="173"/>
      <c r="AT42" s="378"/>
      <c r="AU42" s="469">
        <f>IF($AG$2&gt;0,"限度超過",0)</f>
        <v>0</v>
      </c>
      <c r="AV42" s="377"/>
      <c r="AW42" s="379" t="str">
        <f>IF(AW40=AW41,"OK","エラー")</f>
        <v>OK</v>
      </c>
      <c r="AX42" s="376"/>
      <c r="AY42" s="408"/>
      <c r="AZ42" s="317"/>
      <c r="BA42" s="316"/>
      <c r="BB42" s="409"/>
      <c r="BC42" s="376"/>
      <c r="BD42" s="449"/>
      <c r="BE42" s="26"/>
      <c r="BF42" s="4" t="s">
        <v>257</v>
      </c>
      <c r="BH42" s="12"/>
      <c r="BJ42" s="26"/>
      <c r="BM42" s="12"/>
      <c r="BO42" s="26"/>
      <c r="BQ42" s="459"/>
      <c r="BR42" s="12"/>
      <c r="BS42" s="12"/>
      <c r="BT42" s="12"/>
      <c r="BU42" s="12"/>
      <c r="BV42" s="12"/>
      <c r="BW42" s="12"/>
      <c r="BX42" s="32" t="s">
        <v>340</v>
      </c>
      <c r="BY42" s="576">
        <f>IF(入力画面!E22=1,1,0)</f>
        <v>0</v>
      </c>
      <c r="BZ42" s="576">
        <f>IF($BY$42=1,ROUNDDOWN(CF12*BZ38/BZ39,0),0)</f>
        <v>0</v>
      </c>
      <c r="CA42" s="576">
        <f>IF($BY$42=1,ROUNDDOWN(CG12*CA38/CA39,0),0)</f>
        <v>0</v>
      </c>
      <c r="CB42" s="576">
        <f>IF($BY$42=1,ROUNDDOWN(CH12*CB38/CB39,0),0)</f>
        <v>0</v>
      </c>
      <c r="CC42" s="576">
        <f>IF($BY$42=1,ROUNDDOWN(CE12*CC38/CC39,0),0)</f>
        <v>0</v>
      </c>
      <c r="CD42" s="4"/>
      <c r="CE42" s="4"/>
      <c r="CF42" s="4"/>
      <c r="CG42" s="4"/>
      <c r="CH42" s="4"/>
      <c r="CI42" s="13"/>
      <c r="CK42" s="338"/>
      <c r="CL42" s="335" t="s">
        <v>117</v>
      </c>
      <c r="CM42" s="336">
        <f>SUM(CM31:CM40)</f>
        <v>15900</v>
      </c>
      <c r="CN42" s="337"/>
      <c r="CO42" s="298"/>
      <c r="CP42" s="292"/>
      <c r="CQ42" s="292"/>
      <c r="CR42" s="308"/>
    </row>
    <row r="43" spans="1:96" ht="18" customHeight="1">
      <c r="A43" s="58" t="s">
        <v>1</v>
      </c>
      <c r="B43" s="52"/>
      <c r="C43" s="187">
        <f>IF(H40&gt;0,$X$13,0)</f>
        <v>0</v>
      </c>
      <c r="D43" s="201" t="s">
        <v>6</v>
      </c>
      <c r="E43" s="60" t="s">
        <v>131</v>
      </c>
      <c r="F43" s="1377">
        <f>K37</f>
        <v>0</v>
      </c>
      <c r="G43" s="1377"/>
      <c r="H43" s="214" t="s">
        <v>5</v>
      </c>
      <c r="I43" s="1388" t="s">
        <v>14</v>
      </c>
      <c r="J43" s="1388"/>
      <c r="K43" s="1377">
        <f>C43*F43</f>
        <v>0</v>
      </c>
      <c r="L43" s="1377"/>
      <c r="M43" s="202" t="s">
        <v>6</v>
      </c>
      <c r="N43" s="202"/>
      <c r="O43" s="203"/>
      <c r="P43" s="203"/>
      <c r="Q43" s="63"/>
      <c r="R43" s="204"/>
      <c r="S43" s="59"/>
      <c r="T43" s="27"/>
      <c r="U43" s="205"/>
      <c r="V43" s="27"/>
      <c r="W43" s="186"/>
      <c r="X43" s="187"/>
      <c r="Y43" s="206"/>
      <c r="Z43" s="163"/>
      <c r="AA43" s="26"/>
      <c r="AB43" s="26"/>
      <c r="AC43" s="491"/>
      <c r="AD43" s="26"/>
      <c r="AE43" s="486"/>
      <c r="AF43" s="235"/>
      <c r="AG43" s="26"/>
      <c r="AH43" s="26"/>
      <c r="AI43" s="173"/>
      <c r="AJ43" s="173"/>
      <c r="AK43" s="173"/>
      <c r="AL43" s="173"/>
      <c r="AM43" s="173"/>
      <c r="AN43" s="173"/>
      <c r="AO43" s="1528" t="s">
        <v>250</v>
      </c>
      <c r="AP43" s="1528"/>
      <c r="AQ43" s="484"/>
      <c r="AR43" s="484"/>
      <c r="AS43" s="173"/>
      <c r="AT43" s="1475" t="s">
        <v>243</v>
      </c>
      <c r="AU43" s="1475"/>
      <c r="AV43" s="382"/>
      <c r="AW43" s="382"/>
      <c r="AX43" s="376"/>
      <c r="AY43" s="1495" t="s">
        <v>243</v>
      </c>
      <c r="AZ43" s="1475"/>
      <c r="BA43" s="316"/>
      <c r="BB43" s="409"/>
      <c r="BC43" s="376"/>
      <c r="BD43" s="449"/>
      <c r="BE43" s="26"/>
      <c r="BF43" s="4" t="s">
        <v>258</v>
      </c>
      <c r="BH43" s="12"/>
      <c r="BJ43" s="26"/>
      <c r="BM43" s="12"/>
      <c r="BO43" s="26"/>
      <c r="BQ43" s="459"/>
      <c r="BR43" s="12"/>
      <c r="BS43" s="12"/>
      <c r="BT43" s="12"/>
      <c r="BU43" s="12"/>
      <c r="BV43" s="12"/>
      <c r="BW43" s="12"/>
      <c r="BX43" s="4"/>
      <c r="BY43" s="26"/>
      <c r="BZ43" s="26"/>
      <c r="CA43" s="26"/>
      <c r="CB43" s="26"/>
      <c r="CC43" s="4"/>
      <c r="CD43" s="4"/>
      <c r="CE43" s="4"/>
      <c r="CF43" s="4"/>
      <c r="CG43" s="4"/>
      <c r="CH43" s="4"/>
      <c r="CI43" s="13"/>
      <c r="CK43" s="340"/>
      <c r="CL43" s="341"/>
      <c r="CM43" s="342"/>
      <c r="CN43" s="332"/>
      <c r="CO43" s="298"/>
      <c r="CP43" s="292"/>
      <c r="CQ43" s="292"/>
      <c r="CR43" s="308"/>
    </row>
    <row r="44" spans="1:96" ht="18" customHeight="1">
      <c r="D44" s="101"/>
      <c r="E44" s="70"/>
      <c r="G44" s="9"/>
      <c r="H44" s="102"/>
      <c r="I44" s="5"/>
      <c r="J44" s="9"/>
      <c r="K44" s="18"/>
      <c r="M44" s="103"/>
      <c r="P44" s="103"/>
      <c r="Q44" s="70"/>
      <c r="R44" s="104"/>
      <c r="S44" s="68"/>
      <c r="T44" s="68"/>
      <c r="U44" s="68"/>
      <c r="V44" s="18"/>
      <c r="AA44" s="4"/>
      <c r="AB44" s="4"/>
      <c r="AC44" s="489"/>
      <c r="AD44" s="4"/>
      <c r="AE44" s="74"/>
      <c r="AF44" s="231"/>
      <c r="AG44" s="4"/>
      <c r="AH44" s="4"/>
      <c r="AI44" s="174"/>
      <c r="AJ44" s="174"/>
      <c r="AK44" s="174"/>
      <c r="AL44" s="174"/>
      <c r="AM44" s="174"/>
      <c r="AN44" s="173"/>
      <c r="AO44" s="321" t="s">
        <v>54</v>
      </c>
      <c r="AP44" s="343" t="s">
        <v>212</v>
      </c>
      <c r="AQ44" s="1473" t="s">
        <v>211</v>
      </c>
      <c r="AR44" s="1473"/>
      <c r="AS44" s="174"/>
      <c r="AT44" s="1474" t="s">
        <v>430</v>
      </c>
      <c r="AU44" s="1474"/>
      <c r="AV44" s="1474"/>
      <c r="AW44" s="1474"/>
      <c r="AX44" s="376"/>
      <c r="AY44" s="403" t="s">
        <v>254</v>
      </c>
      <c r="AZ44" s="1498" t="s">
        <v>255</v>
      </c>
      <c r="BA44" s="1498"/>
      <c r="BB44" s="1499"/>
      <c r="BC44" s="376"/>
      <c r="BD44" s="1426" t="s">
        <v>256</v>
      </c>
      <c r="BE44" s="1427"/>
      <c r="BF44" s="1427"/>
      <c r="BG44" s="1427"/>
      <c r="BH44" s="12"/>
      <c r="BI44" s="437" t="s">
        <v>259</v>
      </c>
      <c r="BJ44" s="1438" t="s">
        <v>260</v>
      </c>
      <c r="BK44" s="1438"/>
      <c r="BL44" s="1438"/>
      <c r="BM44" s="12"/>
      <c r="BO44" s="143" t="s">
        <v>126</v>
      </c>
      <c r="BP44" s="12" t="s">
        <v>88</v>
      </c>
      <c r="BQ44" s="446"/>
      <c r="BR44" s="12"/>
      <c r="BS44" s="12"/>
      <c r="BT44" s="12"/>
      <c r="BU44" s="12"/>
      <c r="BV44" s="12"/>
      <c r="BW44" s="12"/>
      <c r="BX44" s="4"/>
      <c r="BY44" s="4"/>
      <c r="BZ44" s="4"/>
      <c r="CA44" s="4"/>
      <c r="CB44" s="4"/>
      <c r="CC44" s="4"/>
      <c r="CD44" s="4"/>
      <c r="CE44" s="4"/>
      <c r="CF44" s="4"/>
      <c r="CG44" s="4"/>
      <c r="CH44" s="4"/>
      <c r="CI44" s="13"/>
      <c r="CM44" s="292"/>
      <c r="CN44" s="298"/>
      <c r="CO44" s="298"/>
      <c r="CP44" s="292"/>
      <c r="CQ44" s="292"/>
      <c r="CR44" s="308"/>
    </row>
    <row r="45" spans="1:96" ht="18" customHeight="1">
      <c r="A45" s="194" t="s">
        <v>54</v>
      </c>
      <c r="B45" s="1396">
        <f>入力画面!C27</f>
        <v>0</v>
      </c>
      <c r="C45" s="1396"/>
      <c r="D45" s="1396"/>
      <c r="E45" s="196" t="s">
        <v>11</v>
      </c>
      <c r="F45" s="1398" t="s">
        <v>57</v>
      </c>
      <c r="G45" s="1398"/>
      <c r="H45" s="1398"/>
      <c r="I45" s="1380">
        <f>IF(入力画面!I29&gt;0,1,0)</f>
        <v>0</v>
      </c>
      <c r="J45" s="1381"/>
      <c r="K45" s="1515">
        <f>IF(H50=0,0,IF($K$8=0, "加入月が未入力です!！",IF($L$87=$A$87,"限度超過額に達しているため計算不可能!!",IF(U47-U46=U48,"エラー名前を入力されているが加入月未入力!！",IF(H50&gt;K47,"加入月未入力エラー!！",0)))))</f>
        <v>0</v>
      </c>
      <c r="L45" s="1516"/>
      <c r="M45" s="1516"/>
      <c r="N45" s="1516"/>
      <c r="O45" s="1516"/>
      <c r="P45" s="1516"/>
      <c r="Q45" s="1516"/>
      <c r="R45" s="1516"/>
      <c r="S45" s="1517"/>
      <c r="T45" s="195" t="s">
        <v>47</v>
      </c>
      <c r="U45" s="1417">
        <f>IF(U50&gt;0,"医療分",0)</f>
        <v>0</v>
      </c>
      <c r="V45" s="1418"/>
      <c r="W45" s="1419" t="s">
        <v>46</v>
      </c>
      <c r="X45" s="1278"/>
      <c r="Y45" s="1278"/>
      <c r="Z45" s="1279"/>
      <c r="AB45" s="4"/>
      <c r="AC45" s="489"/>
      <c r="AD45" s="4"/>
      <c r="AE45" s="74"/>
      <c r="AF45" s="236" t="s">
        <v>117</v>
      </c>
      <c r="AG45" s="4"/>
      <c r="AH45" s="274">
        <f>IF(K47=0,0,IF(K47&lt;12,1,0))</f>
        <v>0</v>
      </c>
      <c r="AI45" s="174"/>
      <c r="AJ45" s="174"/>
      <c r="AK45" s="174"/>
      <c r="AL45" s="174"/>
      <c r="AM45" s="174"/>
      <c r="AN45" s="366" t="s">
        <v>147</v>
      </c>
      <c r="AO45" s="1553" t="s">
        <v>46</v>
      </c>
      <c r="AP45" s="1554"/>
      <c r="AQ45" s="1478">
        <f>IF(R47+R50=0,0,IF(K48&gt;K47,"期割がアンマッチ使用禁止↓",0))</f>
        <v>0</v>
      </c>
      <c r="AR45" s="1479"/>
      <c r="AS45" s="174"/>
      <c r="AT45" s="1494" t="s">
        <v>46</v>
      </c>
      <c r="AU45" s="1477"/>
      <c r="AV45" s="1491"/>
      <c r="AW45" s="1493"/>
      <c r="AX45" s="376"/>
      <c r="AY45" s="1476" t="s">
        <v>46</v>
      </c>
      <c r="AZ45" s="1477"/>
      <c r="BA45" s="1491">
        <f>IF($R$17+$R50=0,0,IF($K$18&gt;$K$17,"期割がアンマッチ使用禁止↓",0))</f>
        <v>0</v>
      </c>
      <c r="BB45" s="1492"/>
      <c r="BC45" s="376"/>
      <c r="BD45" s="1435" t="s">
        <v>46</v>
      </c>
      <c r="BE45" s="1434"/>
      <c r="BF45" s="1436" t="s">
        <v>87</v>
      </c>
      <c r="BG45" s="1437"/>
      <c r="BH45" s="12"/>
      <c r="BI45" s="1253" t="s">
        <v>46</v>
      </c>
      <c r="BJ45" s="1434"/>
      <c r="BK45" s="1431"/>
      <c r="BL45" s="1433"/>
      <c r="BM45" s="12"/>
      <c r="BN45" s="1253" t="s">
        <v>46</v>
      </c>
      <c r="BO45" s="1434"/>
      <c r="BP45" s="1431"/>
      <c r="BQ45" s="1432"/>
      <c r="BR45" s="12"/>
      <c r="BS45" s="12"/>
      <c r="BT45" s="12"/>
      <c r="BU45" s="12"/>
      <c r="BV45" s="12"/>
      <c r="BW45" s="12"/>
      <c r="BX45" s="4"/>
      <c r="BY45" s="4"/>
      <c r="BZ45" s="4"/>
      <c r="CA45" s="4"/>
      <c r="CB45" s="4"/>
      <c r="CC45" s="4"/>
      <c r="CD45" s="4"/>
      <c r="CE45" s="4"/>
      <c r="CF45" s="4"/>
      <c r="CG45" s="4"/>
      <c r="CH45" s="4"/>
      <c r="CI45" s="13"/>
      <c r="CK45" s="1490" t="s">
        <v>197</v>
      </c>
      <c r="CL45" s="1273" t="s">
        <v>196</v>
      </c>
      <c r="CM45" s="1459" t="s">
        <v>413</v>
      </c>
      <c r="CN45" s="293" t="s">
        <v>177</v>
      </c>
      <c r="CO45" s="1462" t="s">
        <v>214</v>
      </c>
      <c r="CP45" s="1446" t="s">
        <v>205</v>
      </c>
      <c r="CR45" s="308"/>
    </row>
    <row r="46" spans="1:96" ht="18" customHeight="1">
      <c r="A46" s="165"/>
      <c r="B46" s="12"/>
      <c r="C46" s="75" t="s">
        <v>33</v>
      </c>
      <c r="D46" s="12"/>
      <c r="E46" s="12"/>
      <c r="F46" s="1394" t="s">
        <v>433</v>
      </c>
      <c r="G46" s="1394"/>
      <c r="H46" s="1394"/>
      <c r="I46" s="1380">
        <f>IF(入力画面!I30&gt;0,1,0)</f>
        <v>0</v>
      </c>
      <c r="J46" s="1381"/>
      <c r="K46" s="76" t="s">
        <v>9</v>
      </c>
      <c r="L46" s="12"/>
      <c r="M46" s="1551"/>
      <c r="N46" s="1551"/>
      <c r="O46" s="1551"/>
      <c r="P46" s="1551"/>
      <c r="Q46" s="1551"/>
      <c r="R46" s="1551"/>
      <c r="S46" s="1552"/>
      <c r="T46" s="72" t="s">
        <v>30</v>
      </c>
      <c r="U46" s="105">
        <f>R47+R50</f>
        <v>0</v>
      </c>
      <c r="V46" s="88" t="s">
        <v>6</v>
      </c>
      <c r="W46" s="80" t="s">
        <v>34</v>
      </c>
      <c r="X46" s="29">
        <f t="shared" ref="X46:X51" si="31">IF($AH$13&gt;0,0,AZ46)</f>
        <v>0</v>
      </c>
      <c r="Y46" s="80" t="s">
        <v>39</v>
      </c>
      <c r="Z46" s="31">
        <f>IF($AH$13&gt;0,0,BB46)</f>
        <v>0</v>
      </c>
      <c r="AA46" s="73"/>
      <c r="AB46" s="73"/>
      <c r="AC46" s="223"/>
      <c r="AD46" s="73"/>
      <c r="AE46" s="73"/>
      <c r="AF46" s="217">
        <f>AF47+AF50+AF53</f>
        <v>0</v>
      </c>
      <c r="AG46" s="73"/>
      <c r="AH46" s="189"/>
      <c r="AI46" s="175"/>
      <c r="AJ46" s="175"/>
      <c r="AK46" s="175"/>
      <c r="AL46" s="175"/>
      <c r="AM46" s="175"/>
      <c r="AN46" s="173"/>
      <c r="AO46" s="322" t="s">
        <v>34</v>
      </c>
      <c r="AP46" s="323">
        <f>AR50-(AP47+AP48+AP49+AP50+AP51+AR46+AR47+AR48+AR49)</f>
        <v>0</v>
      </c>
      <c r="AQ46" s="324" t="s">
        <v>39</v>
      </c>
      <c r="AR46" s="355">
        <f>ROUNDDOWN(AR50/10,-2)</f>
        <v>0</v>
      </c>
      <c r="AS46" s="175"/>
      <c r="AT46" s="313" t="s">
        <v>34</v>
      </c>
      <c r="AU46" s="374">
        <f t="shared" ref="AU46:AU51" si="32">IF($AG$2&gt;0,"限度超過",AP46-AZ135-AZ312)</f>
        <v>0</v>
      </c>
      <c r="AV46" s="311" t="s">
        <v>39</v>
      </c>
      <c r="AW46" s="375">
        <f>IF($AG$2&gt;0,"限度超過",AR46-BB135-BB312)</f>
        <v>0</v>
      </c>
      <c r="AX46" s="376"/>
      <c r="AY46" s="404" t="s">
        <v>34</v>
      </c>
      <c r="AZ46" s="310">
        <f t="shared" ref="AZ46:AZ51" si="33">AU46</f>
        <v>0</v>
      </c>
      <c r="BA46" s="311" t="s">
        <v>39</v>
      </c>
      <c r="BB46" s="405">
        <f>AW46</f>
        <v>0</v>
      </c>
      <c r="BC46" s="376"/>
      <c r="BD46" s="448" t="s">
        <v>34</v>
      </c>
      <c r="BE46" s="81">
        <f t="shared" ref="BE46:BE51" si="34">BE36</f>
        <v>0</v>
      </c>
      <c r="BF46" s="82" t="s">
        <v>39</v>
      </c>
      <c r="BG46" s="29">
        <f>BG36</f>
        <v>0</v>
      </c>
      <c r="BH46" s="12"/>
      <c r="BI46" s="80" t="s">
        <v>34</v>
      </c>
      <c r="BJ46" s="29">
        <f t="shared" ref="BJ46:BJ51" si="35">IF($A$87=$L$87,"限度超過",IF(BE46=0,0,BE46/$S$5))</f>
        <v>0</v>
      </c>
      <c r="BK46" s="80" t="s">
        <v>39</v>
      </c>
      <c r="BL46" s="29">
        <f>IF($A$87=$L$87,"限度超過",IF(BG46=0,0,BG46/$S$5))</f>
        <v>0</v>
      </c>
      <c r="BM46" s="12"/>
      <c r="BN46" s="30" t="s">
        <v>34</v>
      </c>
      <c r="BO46" s="29">
        <f t="shared" ref="BO46:BO51" si="36">IF($A$87=$L$87,"限度超過",IF($S$5&lt;=3,0,BJ46))</f>
        <v>0</v>
      </c>
      <c r="BP46" s="80" t="s">
        <v>39</v>
      </c>
      <c r="BQ46" s="457">
        <f>IF($A$87=$L$87,"限度超過",IF($S$5&lt;=3,0,BL46))</f>
        <v>0</v>
      </c>
      <c r="BR46" s="12"/>
      <c r="BS46" s="12"/>
      <c r="BT46" s="12"/>
      <c r="BU46" s="12"/>
      <c r="BV46" s="12"/>
      <c r="BW46" s="12"/>
      <c r="BX46" s="32"/>
      <c r="BY46" s="33" t="str">
        <f>BY36</f>
        <v>料率</v>
      </c>
      <c r="BZ46" s="33">
        <f>BZ36</f>
        <v>7</v>
      </c>
      <c r="CA46" s="33">
        <f>CA36</f>
        <v>5</v>
      </c>
      <c r="CB46" s="33">
        <f>CB36</f>
        <v>2</v>
      </c>
      <c r="CC46" s="576" t="s">
        <v>341</v>
      </c>
      <c r="CD46" s="4"/>
      <c r="CE46" s="4"/>
      <c r="CF46" s="4"/>
      <c r="CG46" s="4"/>
      <c r="CH46" s="4"/>
      <c r="CI46" s="13"/>
      <c r="CK46" s="1458"/>
      <c r="CL46" s="1274"/>
      <c r="CM46" s="1460"/>
      <c r="CN46" s="300" t="s">
        <v>181</v>
      </c>
      <c r="CO46" s="1463"/>
      <c r="CP46" s="1447"/>
      <c r="CR46" s="308"/>
    </row>
    <row r="47" spans="1:96" ht="18" customHeight="1">
      <c r="A47" s="1378" t="s">
        <v>0</v>
      </c>
      <c r="B47" s="1556" t="s">
        <v>129</v>
      </c>
      <c r="C47" s="1382">
        <f>入力画面!R29</f>
        <v>0</v>
      </c>
      <c r="D47" s="1010" t="s">
        <v>58</v>
      </c>
      <c r="E47" s="1389">
        <f>IF(H50&gt;0,$CE$11, 0)</f>
        <v>0</v>
      </c>
      <c r="F47" s="1395" t="s">
        <v>22</v>
      </c>
      <c r="G47" s="1010" t="s">
        <v>59</v>
      </c>
      <c r="H47" s="85">
        <f>IF(H50&gt;0,$CE$7,0)</f>
        <v>0</v>
      </c>
      <c r="I47" s="1385" t="s">
        <v>22</v>
      </c>
      <c r="J47" s="1010" t="s">
        <v>59</v>
      </c>
      <c r="K47" s="51">
        <f>入力画面!I28</f>
        <v>0</v>
      </c>
      <c r="L47" s="52" t="s">
        <v>5</v>
      </c>
      <c r="M47" s="1395"/>
      <c r="N47" s="1527"/>
      <c r="O47" s="86"/>
      <c r="P47" s="1392" t="s">
        <v>130</v>
      </c>
      <c r="Q47" s="1392"/>
      <c r="R47" s="1391">
        <f>ROUNDDOWN(IF(((C47-E47)*H47/H48)*K47/K48&lt;0,0,((C47-E47)*H47/H48)*K47/K48),0)</f>
        <v>0</v>
      </c>
      <c r="S47" s="1524" t="s">
        <v>6</v>
      </c>
      <c r="T47" s="72" t="s">
        <v>1</v>
      </c>
      <c r="U47" s="105">
        <f>IF(H50=0,0,K53)</f>
        <v>0</v>
      </c>
      <c r="V47" s="88" t="s">
        <v>6</v>
      </c>
      <c r="W47" s="30" t="s">
        <v>35</v>
      </c>
      <c r="X47" s="29">
        <f t="shared" si="31"/>
        <v>0</v>
      </c>
      <c r="Y47" s="30" t="s">
        <v>40</v>
      </c>
      <c r="Z47" s="31">
        <f>IF($AH$13&gt;0,0,BB47)</f>
        <v>0</v>
      </c>
      <c r="AA47" s="26"/>
      <c r="AB47" s="26"/>
      <c r="AC47" s="491"/>
      <c r="AD47" s="26"/>
      <c r="AE47" s="486"/>
      <c r="AF47" s="1416">
        <f>ROUNDDOWN(IF(((C47-E47)*H47/H48)&lt;0,0,((C47-E47)*H47/H48)),0)</f>
        <v>0</v>
      </c>
      <c r="AG47" s="26"/>
      <c r="AH47" s="26"/>
      <c r="AI47" s="173"/>
      <c r="AJ47" s="179"/>
      <c r="AK47" s="179"/>
      <c r="AL47" s="179"/>
      <c r="AM47" s="179"/>
      <c r="AN47" s="174"/>
      <c r="AO47" s="325" t="s">
        <v>35</v>
      </c>
      <c r="AP47" s="323">
        <f>ROUNDDOWN(AR50/10,-2)</f>
        <v>0</v>
      </c>
      <c r="AQ47" s="324" t="s">
        <v>40</v>
      </c>
      <c r="AR47" s="355">
        <f>ROUNDDOWN(AR50/10,-2)</f>
        <v>0</v>
      </c>
      <c r="AS47" s="179"/>
      <c r="AT47" s="313" t="s">
        <v>35</v>
      </c>
      <c r="AU47" s="374">
        <f t="shared" si="32"/>
        <v>0</v>
      </c>
      <c r="AV47" s="311" t="s">
        <v>40</v>
      </c>
      <c r="AW47" s="375">
        <f>IF($AG$2&gt;0,"限度超過",AR47-BB136-BB313)</f>
        <v>0</v>
      </c>
      <c r="AX47" s="376"/>
      <c r="AY47" s="406" t="s">
        <v>35</v>
      </c>
      <c r="AZ47" s="310">
        <f t="shared" si="33"/>
        <v>0</v>
      </c>
      <c r="BA47" s="311" t="s">
        <v>40</v>
      </c>
      <c r="BB47" s="405">
        <f>AW47</f>
        <v>0</v>
      </c>
      <c r="BC47" s="376"/>
      <c r="BD47" s="448" t="s">
        <v>35</v>
      </c>
      <c r="BE47" s="81">
        <f t="shared" si="34"/>
        <v>0</v>
      </c>
      <c r="BF47" s="82" t="s">
        <v>40</v>
      </c>
      <c r="BG47" s="29">
        <f>BG37</f>
        <v>0</v>
      </c>
      <c r="BH47" s="12"/>
      <c r="BI47" s="30" t="s">
        <v>35</v>
      </c>
      <c r="BJ47" s="29">
        <f t="shared" si="35"/>
        <v>0</v>
      </c>
      <c r="BK47" s="30" t="s">
        <v>40</v>
      </c>
      <c r="BL47" s="29">
        <f>IF($A$87=$L$87,"限度超過",IF(BG47=0,0,BG47/$S$5))</f>
        <v>0</v>
      </c>
      <c r="BM47" s="12"/>
      <c r="BN47" s="30" t="s">
        <v>35</v>
      </c>
      <c r="BO47" s="29">
        <f t="shared" si="36"/>
        <v>0</v>
      </c>
      <c r="BP47" s="30" t="s">
        <v>40</v>
      </c>
      <c r="BQ47" s="457">
        <f>IF($A$87=$L$87,"限度超過",IF($S$5&lt;=3,0,BL47))</f>
        <v>0</v>
      </c>
      <c r="BR47" s="12"/>
      <c r="BS47" s="12"/>
      <c r="BT47" s="12"/>
      <c r="BU47" s="12"/>
      <c r="BV47" s="12"/>
      <c r="BW47" s="12"/>
      <c r="BX47" s="32" t="s">
        <v>17</v>
      </c>
      <c r="BY47" s="44">
        <v>0</v>
      </c>
      <c r="BZ47" s="45">
        <f>$CF$8</f>
        <v>18250</v>
      </c>
      <c r="CA47" s="45">
        <f>$CG$8</f>
        <v>13030</v>
      </c>
      <c r="CB47" s="45">
        <f>$CH$8</f>
        <v>5220</v>
      </c>
      <c r="CC47" s="576"/>
      <c r="CD47" s="4"/>
      <c r="CE47" s="4"/>
      <c r="CF47" s="4"/>
      <c r="CG47" s="4"/>
      <c r="CH47" s="4"/>
      <c r="CI47" s="13"/>
      <c r="CK47" s="1455" t="s">
        <v>195</v>
      </c>
      <c r="CL47" s="280" t="s">
        <v>202</v>
      </c>
      <c r="CM47" s="309">
        <f>L176</f>
        <v>5500</v>
      </c>
      <c r="CN47" s="288">
        <f>IF(CM14=0,0,ROUNDDOWN(CM47/(CM30+CM47),8))</f>
        <v>0.25700933999999998</v>
      </c>
      <c r="CO47" s="287" t="str">
        <f>IF(SUM(CO48:CO57)=CN59,"計算ＯＫ","エラー発生")</f>
        <v>計算ＯＫ</v>
      </c>
      <c r="CP47" s="285">
        <f>SUM(CP48:CP57)</f>
        <v>5500</v>
      </c>
      <c r="CQ47" s="115" t="str">
        <f>IF(CM47=CP47,"ＯＫ","エラー")</f>
        <v>ＯＫ</v>
      </c>
      <c r="CR47" s="308"/>
    </row>
    <row r="48" spans="1:96" ht="18" customHeight="1">
      <c r="A48" s="1378"/>
      <c r="B48" s="1556"/>
      <c r="C48" s="1382"/>
      <c r="D48" s="1010"/>
      <c r="E48" s="1389"/>
      <c r="F48" s="1395"/>
      <c r="G48" s="1010"/>
      <c r="H48" s="39">
        <v>100</v>
      </c>
      <c r="I48" s="1385"/>
      <c r="J48" s="1010"/>
      <c r="K48" s="55">
        <v>12</v>
      </c>
      <c r="L48" s="12" t="s">
        <v>5</v>
      </c>
      <c r="M48" s="1395"/>
      <c r="N48" s="1527"/>
      <c r="O48" s="86"/>
      <c r="P48" s="1392"/>
      <c r="Q48" s="1392"/>
      <c r="R48" s="1391"/>
      <c r="S48" s="1524"/>
      <c r="T48" s="72" t="s">
        <v>29</v>
      </c>
      <c r="U48" s="105">
        <f>U46+U47</f>
        <v>0</v>
      </c>
      <c r="V48" s="88" t="s">
        <v>6</v>
      </c>
      <c r="W48" s="30" t="s">
        <v>36</v>
      </c>
      <c r="X48" s="29">
        <f t="shared" si="31"/>
        <v>0</v>
      </c>
      <c r="Y48" s="30" t="s">
        <v>41</v>
      </c>
      <c r="Z48" s="31">
        <f>IF($AH$13&gt;0,0,BB48)</f>
        <v>0</v>
      </c>
      <c r="AA48" s="26"/>
      <c r="AB48" s="26"/>
      <c r="AC48" s="491"/>
      <c r="AD48" s="26"/>
      <c r="AE48" s="486"/>
      <c r="AF48" s="1416"/>
      <c r="AG48" s="26"/>
      <c r="AH48" s="26"/>
      <c r="AI48" s="173"/>
      <c r="AJ48" s="179"/>
      <c r="AK48" s="179"/>
      <c r="AL48" s="179"/>
      <c r="AM48" s="179"/>
      <c r="AN48" s="174"/>
      <c r="AO48" s="325" t="s">
        <v>36</v>
      </c>
      <c r="AP48" s="323">
        <f>ROUNDDOWN(AR50/10,-2)</f>
        <v>0</v>
      </c>
      <c r="AQ48" s="324" t="s">
        <v>41</v>
      </c>
      <c r="AR48" s="355">
        <f>ROUNDDOWN(AR50/10,-2)</f>
        <v>0</v>
      </c>
      <c r="AS48" s="179"/>
      <c r="AT48" s="313" t="s">
        <v>36</v>
      </c>
      <c r="AU48" s="374">
        <f t="shared" si="32"/>
        <v>0</v>
      </c>
      <c r="AV48" s="311" t="s">
        <v>41</v>
      </c>
      <c r="AW48" s="375">
        <f>IF($AG$2&gt;0,"限度超過",AR48-BB137-BB314)</f>
        <v>0</v>
      </c>
      <c r="AX48" s="376"/>
      <c r="AY48" s="406" t="s">
        <v>36</v>
      </c>
      <c r="AZ48" s="310">
        <f t="shared" si="33"/>
        <v>0</v>
      </c>
      <c r="BA48" s="311" t="s">
        <v>41</v>
      </c>
      <c r="BB48" s="405">
        <f>AW48</f>
        <v>0</v>
      </c>
      <c r="BC48" s="376"/>
      <c r="BD48" s="448" t="s">
        <v>36</v>
      </c>
      <c r="BE48" s="81">
        <f t="shared" si="34"/>
        <v>0</v>
      </c>
      <c r="BF48" s="82" t="s">
        <v>41</v>
      </c>
      <c r="BG48" s="29">
        <f>BG38</f>
        <v>0</v>
      </c>
      <c r="BH48" s="12"/>
      <c r="BI48" s="30" t="s">
        <v>36</v>
      </c>
      <c r="BJ48" s="29">
        <f t="shared" si="35"/>
        <v>0</v>
      </c>
      <c r="BK48" s="30" t="s">
        <v>41</v>
      </c>
      <c r="BL48" s="29">
        <f>IF($A$87=$L$87,"限度超過",IF(BG48=0,0,BG48/$S$5))</f>
        <v>0</v>
      </c>
      <c r="BM48" s="12"/>
      <c r="BN48" s="30" t="s">
        <v>36</v>
      </c>
      <c r="BO48" s="29">
        <f t="shared" si="36"/>
        <v>0</v>
      </c>
      <c r="BP48" s="30" t="s">
        <v>41</v>
      </c>
      <c r="BQ48" s="457">
        <f>IF($A$87=$L$87,"限度超過",IF($S$5&lt;=3,0,BL48))</f>
        <v>0</v>
      </c>
      <c r="BR48" s="12"/>
      <c r="BS48" s="12"/>
      <c r="BT48" s="12"/>
      <c r="BU48" s="12"/>
      <c r="BV48" s="12"/>
      <c r="BW48" s="12"/>
      <c r="BX48" s="32" t="s">
        <v>8</v>
      </c>
      <c r="BY48" s="45">
        <f>K50</f>
        <v>0</v>
      </c>
      <c r="BZ48" s="45">
        <f t="shared" ref="BZ48:CB50" si="37">BY48</f>
        <v>0</v>
      </c>
      <c r="CA48" s="45">
        <f t="shared" si="37"/>
        <v>0</v>
      </c>
      <c r="CB48" s="45">
        <f t="shared" si="37"/>
        <v>0</v>
      </c>
      <c r="CC48" s="576">
        <f>CB48</f>
        <v>0</v>
      </c>
      <c r="CD48" s="4"/>
      <c r="CE48" s="4"/>
      <c r="CF48" s="4"/>
      <c r="CG48" s="4"/>
      <c r="CH48" s="4"/>
      <c r="CI48" s="13"/>
      <c r="CK48" s="1456"/>
      <c r="CL48" s="281" t="s">
        <v>185</v>
      </c>
      <c r="CM48" s="286">
        <f>ROUND((CM15-CM66-CM103)*$CN$47,0)</f>
        <v>643</v>
      </c>
      <c r="CN48" s="301" t="s">
        <v>207</v>
      </c>
      <c r="CO48" s="286">
        <f>IF($CN$59=0,0,IF($CN$59&gt;=10,1,IF($CN$59&lt;=-10,-1,0)))</f>
        <v>0</v>
      </c>
      <c r="CP48" s="286">
        <f>CM48+CO48</f>
        <v>643</v>
      </c>
      <c r="CR48" s="56"/>
    </row>
    <row r="49" spans="1:96" ht="18" customHeight="1">
      <c r="A49" s="165"/>
      <c r="B49" s="12"/>
      <c r="C49" s="50"/>
      <c r="D49" s="12"/>
      <c r="E49" s="12"/>
      <c r="F49" s="12"/>
      <c r="G49" s="12"/>
      <c r="H49" s="91"/>
      <c r="I49" s="75"/>
      <c r="J49" s="75"/>
      <c r="K49" s="92"/>
      <c r="L49" s="75"/>
      <c r="M49" s="93"/>
      <c r="N49" s="578">
        <f>IF(入力画面!E27=1,"未就学児",0)</f>
        <v>0</v>
      </c>
      <c r="O49" s="42">
        <f>IF(H50=0,0,$D$5)</f>
        <v>0</v>
      </c>
      <c r="P49" s="463">
        <f>IF(O50=0,0,"軽減額")</f>
        <v>0</v>
      </c>
      <c r="Q49" s="12"/>
      <c r="R49" s="95"/>
      <c r="S49" s="183"/>
      <c r="T49" s="96" t="s">
        <v>31</v>
      </c>
      <c r="U49" s="105">
        <f>ROUNDDOWN(U48,-2)</f>
        <v>0</v>
      </c>
      <c r="V49" s="88" t="s">
        <v>6</v>
      </c>
      <c r="W49" s="30" t="s">
        <v>43</v>
      </c>
      <c r="X49" s="29">
        <f t="shared" si="31"/>
        <v>0</v>
      </c>
      <c r="Y49" s="30" t="s">
        <v>42</v>
      </c>
      <c r="Z49" s="31">
        <f>IF($AH$13&gt;0,0,BB49)</f>
        <v>0</v>
      </c>
      <c r="AA49" s="26"/>
      <c r="AB49" s="26"/>
      <c r="AC49" s="491"/>
      <c r="AD49" s="26"/>
      <c r="AE49" s="497" t="str">
        <f>IF($AH$13&gt;0,"－",IF($AG$2&gt;0,"限度超過",IF(U50=Z50,"OK","ｱﾝﾏｯﾁ")))</f>
        <v>OK</v>
      </c>
      <c r="AF49" s="496"/>
      <c r="AG49" s="26"/>
      <c r="AI49" s="173"/>
      <c r="AJ49" s="173"/>
      <c r="AK49" s="173"/>
      <c r="AL49" s="173"/>
      <c r="AM49" s="173"/>
      <c r="AN49" s="174"/>
      <c r="AO49" s="325" t="s">
        <v>43</v>
      </c>
      <c r="AP49" s="323">
        <f>ROUNDDOWN(AR50/10,-2)</f>
        <v>0</v>
      </c>
      <c r="AQ49" s="324" t="s">
        <v>42</v>
      </c>
      <c r="AR49" s="355">
        <f>ROUNDDOWN(AR50/10,-2)</f>
        <v>0</v>
      </c>
      <c r="AS49" s="173"/>
      <c r="AT49" s="313" t="s">
        <v>43</v>
      </c>
      <c r="AU49" s="374">
        <f t="shared" si="32"/>
        <v>0</v>
      </c>
      <c r="AV49" s="311" t="s">
        <v>42</v>
      </c>
      <c r="AW49" s="375">
        <f>IF($AG$2&gt;0,"限度超過",AR49-BB138-BB315)</f>
        <v>0</v>
      </c>
      <c r="AX49" s="376"/>
      <c r="AY49" s="406" t="s">
        <v>43</v>
      </c>
      <c r="AZ49" s="310">
        <f t="shared" si="33"/>
        <v>0</v>
      </c>
      <c r="BA49" s="311" t="s">
        <v>42</v>
      </c>
      <c r="BB49" s="405">
        <f>AW49</f>
        <v>0</v>
      </c>
      <c r="BC49" s="376"/>
      <c r="BD49" s="448" t="s">
        <v>43</v>
      </c>
      <c r="BE49" s="81">
        <f t="shared" si="34"/>
        <v>0</v>
      </c>
      <c r="BF49" s="82" t="s">
        <v>42</v>
      </c>
      <c r="BG49" s="29">
        <f>BG39</f>
        <v>0</v>
      </c>
      <c r="BH49" s="12"/>
      <c r="BI49" s="30" t="s">
        <v>43</v>
      </c>
      <c r="BJ49" s="29">
        <f t="shared" si="35"/>
        <v>0</v>
      </c>
      <c r="BK49" s="30" t="s">
        <v>42</v>
      </c>
      <c r="BL49" s="29">
        <f>IF($A$87=$L$87,"限度超過",IF(BG49=0,0,BG49/$S$5))</f>
        <v>0</v>
      </c>
      <c r="BM49" s="12"/>
      <c r="BN49" s="30" t="s">
        <v>43</v>
      </c>
      <c r="BO49" s="29">
        <f t="shared" si="36"/>
        <v>0</v>
      </c>
      <c r="BP49" s="30" t="s">
        <v>42</v>
      </c>
      <c r="BQ49" s="457">
        <f>IF($A$87=$L$87,"限度超過",IF($S$5&lt;=3,0,BL49))</f>
        <v>0</v>
      </c>
      <c r="BR49" s="12"/>
      <c r="BS49" s="12"/>
      <c r="BT49" s="12"/>
      <c r="BU49" s="12"/>
      <c r="BV49" s="12"/>
      <c r="BW49" s="12"/>
      <c r="BX49" s="32" t="s">
        <v>25</v>
      </c>
      <c r="BY49" s="45">
        <f>K51</f>
        <v>0</v>
      </c>
      <c r="BZ49" s="45">
        <f t="shared" si="37"/>
        <v>0</v>
      </c>
      <c r="CA49" s="45">
        <f t="shared" si="37"/>
        <v>0</v>
      </c>
      <c r="CB49" s="45">
        <f t="shared" si="37"/>
        <v>0</v>
      </c>
      <c r="CC49" s="576">
        <f>CB49</f>
        <v>0</v>
      </c>
      <c r="CD49" s="4"/>
      <c r="CE49" s="4"/>
      <c r="CF49" s="4"/>
      <c r="CG49" s="4"/>
      <c r="CH49" s="4"/>
      <c r="CI49" s="13"/>
      <c r="CK49" s="1456"/>
      <c r="CL49" s="281" t="s">
        <v>186</v>
      </c>
      <c r="CM49" s="286">
        <f>ROUND((CM16-CM67-CM104)*$CN$47,0)</f>
        <v>540</v>
      </c>
      <c r="CN49" s="302" t="s">
        <v>182</v>
      </c>
      <c r="CO49" s="286">
        <f>IF($CN$59=0,0,IF($CN$59&gt;=9,1,IF($CN$59&lt;=-9,-1,0)))</f>
        <v>0</v>
      </c>
      <c r="CP49" s="286">
        <f t="shared" ref="CP49:CP57" si="38">CM49+CO49</f>
        <v>540</v>
      </c>
      <c r="CR49" s="56"/>
    </row>
    <row r="50" spans="1:96" ht="18" customHeight="1">
      <c r="A50" s="1378" t="s">
        <v>10</v>
      </c>
      <c r="B50" s="12"/>
      <c r="C50" s="12"/>
      <c r="D50" s="1379" t="s">
        <v>7</v>
      </c>
      <c r="E50" s="1389">
        <f>IF(H50&gt;0,$CE$8,0)</f>
        <v>0</v>
      </c>
      <c r="F50" s="97"/>
      <c r="G50" s="1010" t="s">
        <v>59</v>
      </c>
      <c r="H50" s="1390">
        <f>IF(B45=0,0,SUBTOTAL(3,B45))</f>
        <v>0</v>
      </c>
      <c r="I50" s="1385" t="s">
        <v>22</v>
      </c>
      <c r="J50" s="1010" t="s">
        <v>59</v>
      </c>
      <c r="K50" s="51">
        <f>IF(H50&gt;0,K47,0)</f>
        <v>0</v>
      </c>
      <c r="L50" s="52" t="s">
        <v>5</v>
      </c>
      <c r="M50" s="1527" t="s">
        <v>122</v>
      </c>
      <c r="N50" s="1548">
        <f>IF(O50=0,0,"―")</f>
        <v>0</v>
      </c>
      <c r="O50" s="1525">
        <f>IF(H50=0,0,IF(BY52=0,IF($D$5=7,BZ51,IF($D$5=5,CA51,IF($D$5=2,CB51,CC51))),IF($D$5=7,BZ51+BZ52,IF($D$5=5,CA51+CA52,IF($D$5=2,CB51+CB52,CC51+CC52)))))</f>
        <v>0</v>
      </c>
      <c r="P50" s="1526"/>
      <c r="Q50" s="1392" t="s">
        <v>130</v>
      </c>
      <c r="R50" s="1391">
        <f>IF(H50&gt;0,IF(K47=0,0,ROUNDDOWN(((E50*H50)*K50/K51)-O50,0)),0)</f>
        <v>0</v>
      </c>
      <c r="S50" s="1520" t="s">
        <v>6</v>
      </c>
      <c r="T50" s="1537" t="s">
        <v>32</v>
      </c>
      <c r="U50" s="1522">
        <f>IF($L$87=$A$87,"限度超過!",U48)</f>
        <v>0</v>
      </c>
      <c r="V50" s="1512" t="s">
        <v>6</v>
      </c>
      <c r="W50" s="30" t="s">
        <v>37</v>
      </c>
      <c r="X50" s="29">
        <f t="shared" si="31"/>
        <v>0</v>
      </c>
      <c r="Y50" s="1313" t="s">
        <v>44</v>
      </c>
      <c r="Z50" s="1420">
        <f>IF($AH$13&gt;0,0,BB50)</f>
        <v>0</v>
      </c>
      <c r="AA50" s="26"/>
      <c r="AB50" s="26"/>
      <c r="AC50" s="491"/>
      <c r="AD50" s="26"/>
      <c r="AE50" s="497" t="str">
        <f>IF($AG$2&gt;0,"限度超過",IF(X46+X47+X48+X49+X50+X51+Z46+Z47+Z48+Z49=Z50,"OK","エラー"))</f>
        <v>OK</v>
      </c>
      <c r="AF50" s="1521">
        <f>IF(H50&gt;0,IF(K47=0,0,ROUNDDOWN((E50*H50)-O50,0)),0)</f>
        <v>0</v>
      </c>
      <c r="AG50" s="26"/>
      <c r="AI50" s="173"/>
      <c r="AJ50" s="173"/>
      <c r="AK50" s="173"/>
      <c r="AL50" s="173"/>
      <c r="AM50" s="173"/>
      <c r="AN50" s="174"/>
      <c r="AO50" s="325" t="s">
        <v>37</v>
      </c>
      <c r="AP50" s="323">
        <f>ROUNDDOWN(AR50/10,-2)</f>
        <v>0</v>
      </c>
      <c r="AQ50" s="326" t="s">
        <v>44</v>
      </c>
      <c r="AR50" s="327">
        <f>IF($AG$2&gt;0,0,IF($AH$13&gt;0,0,U50+U139+U227+U316))</f>
        <v>0</v>
      </c>
      <c r="AS50" s="173"/>
      <c r="AT50" s="313" t="s">
        <v>37</v>
      </c>
      <c r="AU50" s="374">
        <f t="shared" si="32"/>
        <v>0</v>
      </c>
      <c r="AV50" s="314" t="s">
        <v>44</v>
      </c>
      <c r="AW50" s="312">
        <f>IF($AG$2&gt;0,"限度超過",AU46+AU47+AU48+AU49+AU50+AU51+AW46+AW47+AW48+AW49)</f>
        <v>0</v>
      </c>
      <c r="AX50" s="376"/>
      <c r="AY50" s="406" t="s">
        <v>37</v>
      </c>
      <c r="AZ50" s="310">
        <f t="shared" si="33"/>
        <v>0</v>
      </c>
      <c r="BA50" s="314" t="s">
        <v>44</v>
      </c>
      <c r="BB50" s="405">
        <f>AW50</f>
        <v>0</v>
      </c>
      <c r="BC50" s="376"/>
      <c r="BD50" s="448" t="s">
        <v>37</v>
      </c>
      <c r="BE50" s="81">
        <f t="shared" si="34"/>
        <v>0</v>
      </c>
      <c r="BF50" s="440" t="s">
        <v>44</v>
      </c>
      <c r="BG50" s="29">
        <f>IF($A$87=$L$87,"限度超過",BE46+BE47+BE48+BE49+BE50+BE51+BG46+BG47+BG48+BG49)</f>
        <v>0</v>
      </c>
      <c r="BH50" s="12"/>
      <c r="BI50" s="30" t="s">
        <v>37</v>
      </c>
      <c r="BJ50" s="29">
        <f t="shared" si="35"/>
        <v>0</v>
      </c>
      <c r="BK50" s="98" t="s">
        <v>44</v>
      </c>
      <c r="BL50" s="29">
        <f>IF($A$87=$L$87,"限度超過",BJ46+BJ47+BJ48+BJ49+BJ50+BJ51+BL46+BL47+BL48+BL49)</f>
        <v>0</v>
      </c>
      <c r="BM50" s="12"/>
      <c r="BN50" s="30" t="s">
        <v>37</v>
      </c>
      <c r="BO50" s="29">
        <f t="shared" si="36"/>
        <v>0</v>
      </c>
      <c r="BP50" s="98" t="s">
        <v>44</v>
      </c>
      <c r="BQ50" s="457">
        <f>IF($A$87=$L$87,"限度超過",BO46+BO47+BO48+BO49+BO50+BO51+BQ46+BQ47+BQ48+BQ49)</f>
        <v>0</v>
      </c>
      <c r="BR50" s="12"/>
      <c r="BS50" s="12"/>
      <c r="BT50" s="12"/>
      <c r="BU50" s="12"/>
      <c r="BV50" s="12"/>
      <c r="BW50" s="12"/>
      <c r="BX50" s="32" t="s">
        <v>26</v>
      </c>
      <c r="BY50" s="26">
        <f>H50</f>
        <v>0</v>
      </c>
      <c r="BZ50" s="99">
        <f t="shared" si="37"/>
        <v>0</v>
      </c>
      <c r="CA50" s="99">
        <f t="shared" si="37"/>
        <v>0</v>
      </c>
      <c r="CB50" s="99">
        <f t="shared" si="37"/>
        <v>0</v>
      </c>
      <c r="CC50" s="576">
        <f>CB50</f>
        <v>0</v>
      </c>
      <c r="CD50" s="4"/>
      <c r="CE50" s="4"/>
      <c r="CF50" s="4"/>
      <c r="CG50" s="4"/>
      <c r="CH50" s="4"/>
      <c r="CI50" s="13"/>
      <c r="CK50" s="1456"/>
      <c r="CL50" s="281" t="s">
        <v>187</v>
      </c>
      <c r="CM50" s="286">
        <f t="shared" ref="CM50:CM57" si="39">ROUND((CM17-CM68-CM105)*$CN$47,0)</f>
        <v>540</v>
      </c>
      <c r="CN50" s="289" t="s">
        <v>201</v>
      </c>
      <c r="CO50" s="286">
        <f>IF($CN$59=0,0,IF($CN$59&gt;=8,1,IF($CN$59&lt;=-8,-1,0)))</f>
        <v>0</v>
      </c>
      <c r="CP50" s="286">
        <f t="shared" si="38"/>
        <v>540</v>
      </c>
      <c r="CR50" s="56"/>
    </row>
    <row r="51" spans="1:96" ht="18" customHeight="1">
      <c r="A51" s="1378"/>
      <c r="B51" s="12"/>
      <c r="C51" s="12"/>
      <c r="D51" s="1379"/>
      <c r="E51" s="1389"/>
      <c r="F51" s="12"/>
      <c r="G51" s="1010"/>
      <c r="H51" s="1390"/>
      <c r="I51" s="1385"/>
      <c r="J51" s="1010"/>
      <c r="K51" s="180">
        <f>IF(H50&gt;0,K48,0)</f>
        <v>0</v>
      </c>
      <c r="L51" s="12" t="s">
        <v>5</v>
      </c>
      <c r="M51" s="1527"/>
      <c r="N51" s="1548"/>
      <c r="O51" s="1526"/>
      <c r="P51" s="1526"/>
      <c r="Q51" s="1392"/>
      <c r="R51" s="1391"/>
      <c r="S51" s="1520"/>
      <c r="T51" s="1537"/>
      <c r="U51" s="1522"/>
      <c r="V51" s="1512"/>
      <c r="W51" s="30" t="s">
        <v>38</v>
      </c>
      <c r="X51" s="29">
        <f t="shared" si="31"/>
        <v>0</v>
      </c>
      <c r="Y51" s="1422"/>
      <c r="Z51" s="1421"/>
      <c r="AA51" s="26"/>
      <c r="AB51" s="26"/>
      <c r="AC51" s="491"/>
      <c r="AD51" s="26"/>
      <c r="AE51" s="486"/>
      <c r="AF51" s="1416"/>
      <c r="AG51" s="26"/>
      <c r="AH51" s="26"/>
      <c r="AI51" s="173"/>
      <c r="AJ51" s="173"/>
      <c r="AK51" s="173"/>
      <c r="AL51" s="173"/>
      <c r="AM51" s="173"/>
      <c r="AN51" s="174"/>
      <c r="AO51" s="325" t="s">
        <v>38</v>
      </c>
      <c r="AP51" s="323">
        <f>ROUNDDOWN(AR50/10,-2)</f>
        <v>0</v>
      </c>
      <c r="AQ51" s="324"/>
      <c r="AR51" s="328"/>
      <c r="AS51" s="173"/>
      <c r="AT51" s="313" t="s">
        <v>38</v>
      </c>
      <c r="AU51" s="374">
        <f t="shared" si="32"/>
        <v>0</v>
      </c>
      <c r="AV51" s="311" t="s">
        <v>75</v>
      </c>
      <c r="AW51" s="329">
        <f>IF($AG$2&gt;0,"限度超過",U50)</f>
        <v>0</v>
      </c>
      <c r="AX51" s="376"/>
      <c r="AY51" s="406" t="s">
        <v>38</v>
      </c>
      <c r="AZ51" s="310">
        <f t="shared" si="33"/>
        <v>0</v>
      </c>
      <c r="BA51" s="311"/>
      <c r="BB51" s="407"/>
      <c r="BC51" s="376"/>
      <c r="BD51" s="448" t="s">
        <v>38</v>
      </c>
      <c r="BE51" s="81">
        <f t="shared" si="34"/>
        <v>0</v>
      </c>
      <c r="BF51" s="82"/>
      <c r="BG51" s="100"/>
      <c r="BH51" s="12"/>
      <c r="BI51" s="30" t="s">
        <v>38</v>
      </c>
      <c r="BJ51" s="29">
        <f t="shared" si="35"/>
        <v>0</v>
      </c>
      <c r="BK51" s="30"/>
      <c r="BL51" s="100"/>
      <c r="BM51" s="12"/>
      <c r="BN51" s="30" t="s">
        <v>38</v>
      </c>
      <c r="BO51" s="29">
        <f t="shared" si="36"/>
        <v>0</v>
      </c>
      <c r="BP51" s="30"/>
      <c r="BQ51" s="458"/>
      <c r="BR51" s="12"/>
      <c r="BS51" s="12"/>
      <c r="BT51" s="12"/>
      <c r="BU51" s="12"/>
      <c r="BV51" s="12"/>
      <c r="BW51" s="12"/>
      <c r="BX51" s="67" t="s">
        <v>27</v>
      </c>
      <c r="BY51" s="45">
        <f>IF(BY50&gt;0,ROUNDDOWN(BY47*BY50*BY48/BY49,0),0)</f>
        <v>0</v>
      </c>
      <c r="BZ51" s="45">
        <f>IF(BZ50&gt;0,ROUNDDOWN(BZ47*BZ50*BZ48/BZ49,0),0)</f>
        <v>0</v>
      </c>
      <c r="CA51" s="45">
        <f>IF(CA50&gt;0,ROUNDDOWN(CA47*CA50*CA48/CA49,0),0)</f>
        <v>0</v>
      </c>
      <c r="CB51" s="45">
        <f>IF(CB50&gt;0,ROUNDDOWN(CB47*CB50*CB48/CB49,0),0)</f>
        <v>0</v>
      </c>
      <c r="CC51" s="576">
        <v>0</v>
      </c>
      <c r="CD51" s="4"/>
      <c r="CE51" s="4"/>
      <c r="CF51" s="4"/>
      <c r="CG51" s="4"/>
      <c r="CH51" s="4"/>
      <c r="CI51" s="13"/>
      <c r="CK51" s="1456"/>
      <c r="CL51" s="281" t="s">
        <v>188</v>
      </c>
      <c r="CM51" s="286">
        <f t="shared" si="39"/>
        <v>540</v>
      </c>
      <c r="CN51" s="289"/>
      <c r="CO51" s="286">
        <f>IF($CN$59=0,0,IF($CN$59&gt;=7,1,IF($CN$59&lt;=-7,-1,0)))</f>
        <v>0</v>
      </c>
      <c r="CP51" s="286">
        <f t="shared" si="38"/>
        <v>540</v>
      </c>
      <c r="CR51" s="56"/>
    </row>
    <row r="52" spans="1:96" ht="18" customHeight="1">
      <c r="A52" s="200"/>
      <c r="B52" s="75" t="s">
        <v>118</v>
      </c>
      <c r="C52" s="12"/>
      <c r="D52" s="160"/>
      <c r="E52" s="161"/>
      <c r="F52" s="12"/>
      <c r="G52" s="50"/>
      <c r="H52" s="162"/>
      <c r="I52" s="159"/>
      <c r="J52" s="50"/>
      <c r="K52" s="180"/>
      <c r="L52" s="12"/>
      <c r="M52" s="86"/>
      <c r="N52" s="86"/>
      <c r="O52" s="181"/>
      <c r="P52" s="181"/>
      <c r="Q52" s="156"/>
      <c r="R52" s="157"/>
      <c r="S52" s="49"/>
      <c r="T52" s="50"/>
      <c r="U52" s="182"/>
      <c r="V52" s="50"/>
      <c r="W52" s="4"/>
      <c r="X52" s="26"/>
      <c r="Y52" s="170"/>
      <c r="Z52" s="185"/>
      <c r="AA52" s="4"/>
      <c r="AB52" s="4"/>
      <c r="AC52" s="489"/>
      <c r="AD52" s="4"/>
      <c r="AE52" s="74"/>
      <c r="AF52" s="234"/>
      <c r="AG52" s="4"/>
      <c r="AH52" s="4"/>
      <c r="AI52" s="174"/>
      <c r="AJ52" s="174"/>
      <c r="AK52" s="174"/>
      <c r="AL52" s="174"/>
      <c r="AM52" s="174"/>
      <c r="AN52" s="174"/>
      <c r="AO52" s="483"/>
      <c r="AP52" s="483"/>
      <c r="AQ52" s="484"/>
      <c r="AR52" s="484"/>
      <c r="AS52" s="174"/>
      <c r="AT52" s="378"/>
      <c r="AU52" s="469">
        <f>IF($AG$2&gt;0,"限度超過",0)</f>
        <v>0</v>
      </c>
      <c r="AV52" s="377"/>
      <c r="AW52" s="379" t="str">
        <f>IF(AW50=AW51,"OK","エラー")</f>
        <v>OK</v>
      </c>
      <c r="AX52" s="376"/>
      <c r="AY52" s="408"/>
      <c r="AZ52" s="317"/>
      <c r="BA52" s="316"/>
      <c r="BB52" s="409"/>
      <c r="BC52" s="376"/>
      <c r="BD52" s="449"/>
      <c r="BE52" s="26"/>
      <c r="BF52" s="4" t="s">
        <v>257</v>
      </c>
      <c r="BH52" s="12"/>
      <c r="BJ52" s="26"/>
      <c r="BM52" s="12"/>
      <c r="BO52" s="26"/>
      <c r="BQ52" s="459"/>
      <c r="BR52" s="12"/>
      <c r="BS52" s="12"/>
      <c r="BT52" s="12"/>
      <c r="BU52" s="12"/>
      <c r="BV52" s="12"/>
      <c r="BW52" s="12"/>
      <c r="BX52" s="32" t="s">
        <v>340</v>
      </c>
      <c r="BY52" s="576">
        <f>IF(入力画面!E27=1,1,0)</f>
        <v>0</v>
      </c>
      <c r="BZ52" s="576">
        <f>IF($BY$52=1,ROUNDDOWN(CF12*BZ48/BZ49,0),0)</f>
        <v>0</v>
      </c>
      <c r="CA52" s="576">
        <f>IF($BY$52=1,ROUNDDOWN(CG12*CA48/CA49,0),0)</f>
        <v>0</v>
      </c>
      <c r="CB52" s="576">
        <f>IF($BY$52=1,ROUNDDOWN(CH12*CB48/CB49,0),0)</f>
        <v>0</v>
      </c>
      <c r="CC52" s="576">
        <f>IF($BY$52=1,ROUNDDOWN(CE12*CC48/CC49,0),0)</f>
        <v>0</v>
      </c>
      <c r="CD52" s="4"/>
      <c r="CE52" s="4"/>
      <c r="CF52" s="4"/>
      <c r="CG52" s="4"/>
      <c r="CH52" s="4"/>
      <c r="CI52" s="13"/>
      <c r="CK52" s="278"/>
      <c r="CL52" s="281" t="s">
        <v>189</v>
      </c>
      <c r="CM52" s="286">
        <f t="shared" si="39"/>
        <v>540</v>
      </c>
      <c r="CN52" s="289"/>
      <c r="CO52" s="286">
        <f>IF($CN$59=0,0,IF($CN$59&gt;=6,1,IF($CN$59&lt;=-6,-1,0)))</f>
        <v>0</v>
      </c>
      <c r="CP52" s="286">
        <f t="shared" si="38"/>
        <v>540</v>
      </c>
      <c r="CR52" s="56"/>
    </row>
    <row r="53" spans="1:96" ht="18" customHeight="1">
      <c r="A53" s="58" t="s">
        <v>1</v>
      </c>
      <c r="B53" s="52"/>
      <c r="C53" s="187">
        <f>IF(H50&gt;0,$X$13,0)</f>
        <v>0</v>
      </c>
      <c r="D53" s="201" t="s">
        <v>6</v>
      </c>
      <c r="E53" s="60" t="s">
        <v>131</v>
      </c>
      <c r="F53" s="1377">
        <f>K47</f>
        <v>0</v>
      </c>
      <c r="G53" s="1377"/>
      <c r="H53" s="214" t="s">
        <v>5</v>
      </c>
      <c r="I53" s="1388" t="s">
        <v>14</v>
      </c>
      <c r="J53" s="1388"/>
      <c r="K53" s="1377">
        <f>C53*F53</f>
        <v>0</v>
      </c>
      <c r="L53" s="1377"/>
      <c r="M53" s="202" t="s">
        <v>6</v>
      </c>
      <c r="N53" s="202"/>
      <c r="O53" s="203"/>
      <c r="P53" s="203"/>
      <c r="Q53" s="63"/>
      <c r="R53" s="204"/>
      <c r="S53" s="59"/>
      <c r="T53" s="27"/>
      <c r="U53" s="205"/>
      <c r="V53" s="27"/>
      <c r="W53" s="186"/>
      <c r="X53" s="187"/>
      <c r="Y53" s="206"/>
      <c r="Z53" s="163"/>
      <c r="AB53" s="4"/>
      <c r="AC53" s="489"/>
      <c r="AD53" s="4"/>
      <c r="AE53" s="74"/>
      <c r="AF53" s="235"/>
      <c r="AG53" s="4"/>
      <c r="AH53" s="4"/>
      <c r="AI53" s="174"/>
      <c r="AJ53" s="174"/>
      <c r="AK53" s="174"/>
      <c r="AL53" s="174"/>
      <c r="AM53" s="174"/>
      <c r="AN53" s="174"/>
      <c r="AO53" s="1528" t="s">
        <v>251</v>
      </c>
      <c r="AP53" s="1528"/>
      <c r="AQ53" s="484"/>
      <c r="AR53" s="484"/>
      <c r="AS53" s="174"/>
      <c r="AT53" s="1475" t="s">
        <v>244</v>
      </c>
      <c r="AU53" s="1475"/>
      <c r="AV53" s="377"/>
      <c r="AW53" s="377"/>
      <c r="AX53" s="376"/>
      <c r="AY53" s="1495" t="s">
        <v>244</v>
      </c>
      <c r="AZ53" s="1475"/>
      <c r="BA53" s="316"/>
      <c r="BB53" s="409"/>
      <c r="BC53" s="376"/>
      <c r="BD53" s="449"/>
      <c r="BE53" s="26"/>
      <c r="BF53" s="4" t="s">
        <v>258</v>
      </c>
      <c r="BH53" s="12"/>
      <c r="BJ53" s="26"/>
      <c r="BM53" s="12"/>
      <c r="BO53" s="26"/>
      <c r="BQ53" s="459"/>
      <c r="BR53" s="12"/>
      <c r="BS53" s="12"/>
      <c r="BT53" s="12"/>
      <c r="BU53" s="12"/>
      <c r="BV53" s="12"/>
      <c r="BW53" s="12"/>
      <c r="BX53" s="4"/>
      <c r="BY53" s="26"/>
      <c r="BZ53" s="26"/>
      <c r="CA53" s="26"/>
      <c r="CB53" s="26"/>
      <c r="CC53" s="4"/>
      <c r="CD53" s="4"/>
      <c r="CE53" s="4"/>
      <c r="CF53" s="4"/>
      <c r="CG53" s="4"/>
      <c r="CH53" s="4"/>
      <c r="CI53" s="13"/>
      <c r="CK53" s="278"/>
      <c r="CL53" s="281" t="s">
        <v>190</v>
      </c>
      <c r="CM53" s="286">
        <f t="shared" si="39"/>
        <v>540</v>
      </c>
      <c r="CN53" s="289"/>
      <c r="CO53" s="286">
        <f>IF($CN$59=0,0,IF($CN$59&gt;=5,1,IF($CN$59&lt;=-5,-1,0)))</f>
        <v>0</v>
      </c>
      <c r="CP53" s="286">
        <f t="shared" si="38"/>
        <v>540</v>
      </c>
      <c r="CR53" s="56"/>
    </row>
    <row r="54" spans="1:96" ht="18" customHeight="1">
      <c r="D54" s="101"/>
      <c r="E54" s="70"/>
      <c r="G54" s="9"/>
      <c r="H54" s="102"/>
      <c r="I54" s="5"/>
      <c r="J54" s="9"/>
      <c r="K54" s="18"/>
      <c r="M54" s="103"/>
      <c r="P54" s="103"/>
      <c r="Q54" s="70"/>
      <c r="R54" s="104"/>
      <c r="S54" s="68"/>
      <c r="T54" s="68"/>
      <c r="U54" s="68"/>
      <c r="V54" s="18"/>
      <c r="AA54" s="26"/>
      <c r="AB54" s="26"/>
      <c r="AC54" s="491"/>
      <c r="AD54" s="26"/>
      <c r="AE54" s="486"/>
      <c r="AF54" s="231"/>
      <c r="AG54" s="26"/>
      <c r="AH54" s="26"/>
      <c r="AI54" s="173"/>
      <c r="AJ54" s="179"/>
      <c r="AK54" s="179"/>
      <c r="AL54" s="179"/>
      <c r="AM54" s="179"/>
      <c r="AN54" s="174"/>
      <c r="AO54" s="321" t="s">
        <v>55</v>
      </c>
      <c r="AP54" s="343" t="s">
        <v>212</v>
      </c>
      <c r="AQ54" s="1473" t="s">
        <v>211</v>
      </c>
      <c r="AR54" s="1473"/>
      <c r="AS54" s="179"/>
      <c r="AT54" s="1474" t="s">
        <v>430</v>
      </c>
      <c r="AU54" s="1474"/>
      <c r="AV54" s="1474"/>
      <c r="AW54" s="1474"/>
      <c r="AX54" s="376"/>
      <c r="AY54" s="403" t="s">
        <v>254</v>
      </c>
      <c r="AZ54" s="1498" t="s">
        <v>255</v>
      </c>
      <c r="BA54" s="1498"/>
      <c r="BB54" s="1499"/>
      <c r="BC54" s="376"/>
      <c r="BD54" s="1426" t="s">
        <v>256</v>
      </c>
      <c r="BE54" s="1427"/>
      <c r="BF54" s="1427"/>
      <c r="BG54" s="1427"/>
      <c r="BH54" s="12"/>
      <c r="BI54" s="437" t="s">
        <v>259</v>
      </c>
      <c r="BJ54" s="1438" t="s">
        <v>260</v>
      </c>
      <c r="BK54" s="1438"/>
      <c r="BL54" s="1438"/>
      <c r="BM54" s="12"/>
      <c r="BO54" s="143" t="s">
        <v>126</v>
      </c>
      <c r="BP54" s="12" t="s">
        <v>88</v>
      </c>
      <c r="BQ54" s="446"/>
      <c r="BR54" s="12"/>
      <c r="BS54" s="12"/>
      <c r="BT54" s="12"/>
      <c r="BU54" s="12"/>
      <c r="BV54" s="12"/>
      <c r="BW54" s="12"/>
      <c r="BX54" s="4"/>
      <c r="BY54" s="4"/>
      <c r="BZ54" s="4"/>
      <c r="CA54" s="4"/>
      <c r="CB54" s="4"/>
      <c r="CC54" s="4"/>
      <c r="CD54" s="4"/>
      <c r="CE54" s="4"/>
      <c r="CF54" s="4"/>
      <c r="CG54" s="4"/>
      <c r="CH54" s="4"/>
      <c r="CI54" s="13"/>
      <c r="CK54" s="278"/>
      <c r="CL54" s="281" t="s">
        <v>191</v>
      </c>
      <c r="CM54" s="286">
        <f t="shared" si="39"/>
        <v>540</v>
      </c>
      <c r="CN54" s="289"/>
      <c r="CO54" s="286">
        <f>IF($CN$59=0,0,IF($CN$59&gt;=4,1,IF($CN$59&lt;=-4,-1,0)))</f>
        <v>0</v>
      </c>
      <c r="CP54" s="286">
        <f t="shared" si="38"/>
        <v>540</v>
      </c>
      <c r="CR54" s="56"/>
    </row>
    <row r="55" spans="1:96" ht="18" customHeight="1">
      <c r="A55" s="194" t="s">
        <v>55</v>
      </c>
      <c r="B55" s="1396">
        <f>入力画面!C32</f>
        <v>0</v>
      </c>
      <c r="C55" s="1396"/>
      <c r="D55" s="1396"/>
      <c r="E55" s="196" t="s">
        <v>11</v>
      </c>
      <c r="F55" s="1398" t="s">
        <v>57</v>
      </c>
      <c r="G55" s="1398"/>
      <c r="H55" s="1398"/>
      <c r="I55" s="1380">
        <f>IF(入力画面!I34&gt;0,1,0)</f>
        <v>0</v>
      </c>
      <c r="J55" s="1381"/>
      <c r="K55" s="1515">
        <f>IF(H60=0,0,IF($K$8=0, "加入月が未入力です!！",IF($L$87=$A$87,"限度超過額に達しているため計算不可能!!",IF(U57-U56=U58,"エラー名前を入力されているが加入月未入力!！",IF(H60&gt;K57,"加入月未入力エラー!！",0)))))</f>
        <v>0</v>
      </c>
      <c r="L55" s="1516"/>
      <c r="M55" s="1516"/>
      <c r="N55" s="1516"/>
      <c r="O55" s="1516"/>
      <c r="P55" s="1516"/>
      <c r="Q55" s="1516"/>
      <c r="R55" s="1516"/>
      <c r="S55" s="1517"/>
      <c r="T55" s="195" t="s">
        <v>47</v>
      </c>
      <c r="U55" s="1417">
        <f>IF(U60&gt;0,"医療分",0)</f>
        <v>0</v>
      </c>
      <c r="V55" s="1418"/>
      <c r="W55" s="1419" t="s">
        <v>46</v>
      </c>
      <c r="X55" s="1278"/>
      <c r="Y55" s="1278"/>
      <c r="Z55" s="1279"/>
      <c r="AA55" s="26"/>
      <c r="AB55" s="26"/>
      <c r="AC55" s="491"/>
      <c r="AD55" s="26"/>
      <c r="AE55" s="486"/>
      <c r="AF55" s="236" t="s">
        <v>117</v>
      </c>
      <c r="AG55" s="26"/>
      <c r="AH55" s="274">
        <f>IF(K57=0,0,IF(K57&lt;12,1,0))</f>
        <v>0</v>
      </c>
      <c r="AI55" s="173"/>
      <c r="AJ55" s="179"/>
      <c r="AK55" s="179"/>
      <c r="AL55" s="179"/>
      <c r="AM55" s="179"/>
      <c r="AN55" s="366" t="s">
        <v>148</v>
      </c>
      <c r="AO55" s="1553" t="s">
        <v>46</v>
      </c>
      <c r="AP55" s="1554"/>
      <c r="AQ55" s="1478">
        <f>IF(R57+R60=0,0,IF(K58&gt;K57,"期割がアンマッチ使用禁止↓",0))</f>
        <v>0</v>
      </c>
      <c r="AR55" s="1479"/>
      <c r="AS55" s="179"/>
      <c r="AT55" s="1494" t="s">
        <v>46</v>
      </c>
      <c r="AU55" s="1477"/>
      <c r="AV55" s="1491"/>
      <c r="AW55" s="1493"/>
      <c r="AX55" s="376"/>
      <c r="AY55" s="1476" t="s">
        <v>46</v>
      </c>
      <c r="AZ55" s="1477"/>
      <c r="BA55" s="1491">
        <f>IF($R$17+$R60=0,0,IF($K$18&gt;$K$17,"期割がアンマッチ使用禁止↓",0))</f>
        <v>0</v>
      </c>
      <c r="BB55" s="1492"/>
      <c r="BC55" s="376"/>
      <c r="BD55" s="1435" t="s">
        <v>46</v>
      </c>
      <c r="BE55" s="1434"/>
      <c r="BF55" s="1436" t="s">
        <v>87</v>
      </c>
      <c r="BG55" s="1437"/>
      <c r="BH55" s="12"/>
      <c r="BI55" s="1253" t="s">
        <v>46</v>
      </c>
      <c r="BJ55" s="1434"/>
      <c r="BK55" s="1431"/>
      <c r="BL55" s="1433"/>
      <c r="BM55" s="12"/>
      <c r="BN55" s="1253" t="s">
        <v>46</v>
      </c>
      <c r="BO55" s="1434"/>
      <c r="BP55" s="1431"/>
      <c r="BQ55" s="1432"/>
      <c r="BR55" s="12"/>
      <c r="BS55" s="12"/>
      <c r="BT55" s="12"/>
      <c r="BU55" s="12"/>
      <c r="BV55" s="12"/>
      <c r="BW55" s="12"/>
      <c r="BX55" s="4"/>
      <c r="BY55" s="4"/>
      <c r="BZ55" s="4"/>
      <c r="CA55" s="4"/>
      <c r="CB55" s="4"/>
      <c r="CC55" s="4"/>
      <c r="CD55" s="4"/>
      <c r="CE55" s="4"/>
      <c r="CF55" s="4"/>
      <c r="CG55" s="4"/>
      <c r="CH55" s="4"/>
      <c r="CI55" s="13"/>
      <c r="CK55" s="278"/>
      <c r="CL55" s="281" t="s">
        <v>192</v>
      </c>
      <c r="CM55" s="286">
        <f t="shared" si="39"/>
        <v>540</v>
      </c>
      <c r="CN55" s="289"/>
      <c r="CO55" s="286">
        <f>IF($CN$59=0,0,IF($CN$59&gt;=3,1,IF($CN$59&lt;=-3,-1,0)))</f>
        <v>-1</v>
      </c>
      <c r="CP55" s="286">
        <f t="shared" si="38"/>
        <v>539</v>
      </c>
      <c r="CR55" s="56"/>
    </row>
    <row r="56" spans="1:96" ht="18" customHeight="1">
      <c r="A56" s="165"/>
      <c r="B56" s="12"/>
      <c r="C56" s="75" t="s">
        <v>33</v>
      </c>
      <c r="D56" s="12"/>
      <c r="E56" s="12"/>
      <c r="F56" s="1394" t="s">
        <v>433</v>
      </c>
      <c r="G56" s="1394"/>
      <c r="H56" s="1394"/>
      <c r="I56" s="1380">
        <f>IF(入力画面!I35&gt;0,1,0)</f>
        <v>0</v>
      </c>
      <c r="J56" s="1381"/>
      <c r="K56" s="76" t="s">
        <v>9</v>
      </c>
      <c r="L56" s="12"/>
      <c r="M56" s="1551"/>
      <c r="N56" s="1551"/>
      <c r="O56" s="1551"/>
      <c r="P56" s="1551"/>
      <c r="Q56" s="1551"/>
      <c r="R56" s="1551"/>
      <c r="S56" s="1552"/>
      <c r="T56" s="72" t="s">
        <v>30</v>
      </c>
      <c r="U56" s="105">
        <f>R57+R60</f>
        <v>0</v>
      </c>
      <c r="V56" s="88" t="s">
        <v>6</v>
      </c>
      <c r="W56" s="80" t="s">
        <v>34</v>
      </c>
      <c r="X56" s="29">
        <f t="shared" ref="X56:X61" si="40">IF($AH$13&gt;0,0,AZ56)</f>
        <v>0</v>
      </c>
      <c r="Y56" s="80" t="s">
        <v>39</v>
      </c>
      <c r="Z56" s="31">
        <f>IF($AH$13&gt;0,0,BB56)</f>
        <v>0</v>
      </c>
      <c r="AA56" s="26"/>
      <c r="AB56" s="26"/>
      <c r="AC56" s="491"/>
      <c r="AD56" s="26"/>
      <c r="AE56" s="486"/>
      <c r="AF56" s="217">
        <f>AF57+AF60+AF63</f>
        <v>0</v>
      </c>
      <c r="AG56" s="26"/>
      <c r="AH56" s="26"/>
      <c r="AI56" s="173"/>
      <c r="AJ56" s="173"/>
      <c r="AK56" s="173"/>
      <c r="AL56" s="173"/>
      <c r="AM56" s="173"/>
      <c r="AN56" s="174"/>
      <c r="AO56" s="322" t="s">
        <v>34</v>
      </c>
      <c r="AP56" s="323">
        <f>AR60-(AP57+AP58+AP59+AP60+AP61+AR56+AR57+AR58+AR59)</f>
        <v>0</v>
      </c>
      <c r="AQ56" s="324" t="s">
        <v>39</v>
      </c>
      <c r="AR56" s="355">
        <f>ROUNDDOWN(AR60/10,-2)</f>
        <v>0</v>
      </c>
      <c r="AS56" s="173"/>
      <c r="AT56" s="313" t="s">
        <v>34</v>
      </c>
      <c r="AU56" s="374">
        <f t="shared" ref="AU56:AU61" si="41">IF($AG$2&gt;0,"限度超過",AP56-AZ145-AZ322)</f>
        <v>0</v>
      </c>
      <c r="AV56" s="311" t="s">
        <v>39</v>
      </c>
      <c r="AW56" s="375">
        <f>IF($AG$2&gt;0,"限度超過",AR56-BB145-BB322)</f>
        <v>0</v>
      </c>
      <c r="AX56" s="376"/>
      <c r="AY56" s="404" t="s">
        <v>34</v>
      </c>
      <c r="AZ56" s="310">
        <f t="shared" ref="AZ56:AZ61" si="42">AU56</f>
        <v>0</v>
      </c>
      <c r="BA56" s="311" t="s">
        <v>39</v>
      </c>
      <c r="BB56" s="405">
        <f>AW56</f>
        <v>0</v>
      </c>
      <c r="BC56" s="376"/>
      <c r="BD56" s="448" t="s">
        <v>34</v>
      </c>
      <c r="BE56" s="81">
        <f t="shared" ref="BE56:BE61" si="43">BE46</f>
        <v>0</v>
      </c>
      <c r="BF56" s="82" t="s">
        <v>39</v>
      </c>
      <c r="BG56" s="29">
        <f>BG46</f>
        <v>0</v>
      </c>
      <c r="BH56" s="12"/>
      <c r="BI56" s="80" t="s">
        <v>34</v>
      </c>
      <c r="BJ56" s="29">
        <f t="shared" ref="BJ56:BJ61" si="44">IF($A$87=$L$87,"限度超過",IF(BE56=0,0,BE56/$S$5))</f>
        <v>0</v>
      </c>
      <c r="BK56" s="80" t="s">
        <v>39</v>
      </c>
      <c r="BL56" s="29">
        <f>IF($A$87=$L$87,"限度超過",IF(BG56=0,0,BG56/$S$5))</f>
        <v>0</v>
      </c>
      <c r="BM56" s="12"/>
      <c r="BN56" s="30" t="s">
        <v>34</v>
      </c>
      <c r="BO56" s="29">
        <f t="shared" ref="BO56:BO61" si="45">IF($A$87=$L$87,"限度超過",IF($S$5&lt;=4,0,BJ56))</f>
        <v>0</v>
      </c>
      <c r="BP56" s="80" t="s">
        <v>39</v>
      </c>
      <c r="BQ56" s="457">
        <f>IF($A$87=$L$87,"限度超過",IF($S$5&lt;=4,0,BL56))</f>
        <v>0</v>
      </c>
      <c r="BR56" s="12"/>
      <c r="BS56" s="12"/>
      <c r="BT56" s="12"/>
      <c r="BU56" s="12"/>
      <c r="BV56" s="12"/>
      <c r="BW56" s="12"/>
      <c r="BX56" s="32"/>
      <c r="BY56" s="33" t="str">
        <f>BY46</f>
        <v>料率</v>
      </c>
      <c r="BZ56" s="33">
        <f>BZ46</f>
        <v>7</v>
      </c>
      <c r="CA56" s="33">
        <f>CA46</f>
        <v>5</v>
      </c>
      <c r="CB56" s="33">
        <f>CB46</f>
        <v>2</v>
      </c>
      <c r="CC56" s="576" t="s">
        <v>341</v>
      </c>
      <c r="CD56" s="4"/>
      <c r="CE56" s="4"/>
      <c r="CF56" s="4"/>
      <c r="CG56" s="4"/>
      <c r="CH56" s="4"/>
      <c r="CI56" s="13"/>
      <c r="CK56" s="278"/>
      <c r="CL56" s="281" t="s">
        <v>193</v>
      </c>
      <c r="CM56" s="286">
        <f t="shared" si="39"/>
        <v>540</v>
      </c>
      <c r="CN56" s="289"/>
      <c r="CO56" s="286">
        <f>IF($CN$59=0,0,IF($CN$59&gt;=2,1,IF($CN$59&lt;=-2,-1,0)))</f>
        <v>-1</v>
      </c>
      <c r="CP56" s="286">
        <f t="shared" si="38"/>
        <v>539</v>
      </c>
      <c r="CR56" s="56"/>
    </row>
    <row r="57" spans="1:96" ht="18" customHeight="1">
      <c r="A57" s="1378" t="s">
        <v>0</v>
      </c>
      <c r="B57" s="1556" t="s">
        <v>129</v>
      </c>
      <c r="C57" s="1382">
        <f>入力画面!R34</f>
        <v>0</v>
      </c>
      <c r="D57" s="1010" t="s">
        <v>58</v>
      </c>
      <c r="E57" s="1389">
        <f>IF(H60&gt;0,$CE$11, 0)</f>
        <v>0</v>
      </c>
      <c r="F57" s="1395" t="s">
        <v>22</v>
      </c>
      <c r="G57" s="1010" t="s">
        <v>59</v>
      </c>
      <c r="H57" s="85">
        <f>IF(H60&gt;0,$CE$7,0)</f>
        <v>0</v>
      </c>
      <c r="I57" s="1385" t="s">
        <v>22</v>
      </c>
      <c r="J57" s="1010" t="s">
        <v>59</v>
      </c>
      <c r="K57" s="51">
        <f>入力画面!I33</f>
        <v>0</v>
      </c>
      <c r="L57" s="52" t="s">
        <v>5</v>
      </c>
      <c r="M57" s="1395"/>
      <c r="N57" s="1527"/>
      <c r="O57" s="86"/>
      <c r="P57" s="1392" t="s">
        <v>130</v>
      </c>
      <c r="Q57" s="1392"/>
      <c r="R57" s="1391">
        <f>ROUNDDOWN(IF(((C57-E57)*H57/H58)*K57/K58&lt;0,0,((C57-E57)*H57/H58)*K57/K58),0)</f>
        <v>0</v>
      </c>
      <c r="S57" s="1524" t="s">
        <v>6</v>
      </c>
      <c r="T57" s="72" t="s">
        <v>1</v>
      </c>
      <c r="U57" s="105">
        <f>IF(H60=0,0,K63)</f>
        <v>0</v>
      </c>
      <c r="V57" s="88" t="s">
        <v>6</v>
      </c>
      <c r="W57" s="30" t="s">
        <v>35</v>
      </c>
      <c r="X57" s="29">
        <f t="shared" si="40"/>
        <v>0</v>
      </c>
      <c r="Y57" s="30" t="s">
        <v>40</v>
      </c>
      <c r="Z57" s="31">
        <f>IF($AH$13&gt;0,0,BB57)</f>
        <v>0</v>
      </c>
      <c r="AA57" s="26"/>
      <c r="AB57" s="26"/>
      <c r="AC57" s="491"/>
      <c r="AD57" s="26"/>
      <c r="AE57" s="486"/>
      <c r="AF57" s="1416">
        <f>ROUNDDOWN(IF(((C57-E57)*H57/H58)&lt;0,0,((C57-E57)*H57/H58)),0)</f>
        <v>0</v>
      </c>
      <c r="AG57" s="26"/>
      <c r="AH57" s="26"/>
      <c r="AI57" s="173"/>
      <c r="AJ57" s="173"/>
      <c r="AK57" s="173"/>
      <c r="AL57" s="173"/>
      <c r="AM57" s="173"/>
      <c r="AN57" s="174"/>
      <c r="AO57" s="325" t="s">
        <v>35</v>
      </c>
      <c r="AP57" s="323">
        <f>ROUNDDOWN(AR60/10,-2)</f>
        <v>0</v>
      </c>
      <c r="AQ57" s="324" t="s">
        <v>40</v>
      </c>
      <c r="AR57" s="355">
        <f>ROUNDDOWN(AR60/10,-2)</f>
        <v>0</v>
      </c>
      <c r="AS57" s="173"/>
      <c r="AT57" s="313" t="s">
        <v>35</v>
      </c>
      <c r="AU57" s="374">
        <f t="shared" si="41"/>
        <v>0</v>
      </c>
      <c r="AV57" s="311" t="s">
        <v>40</v>
      </c>
      <c r="AW57" s="375">
        <f>IF($AG$2&gt;0,"限度超過",AR57-BB146-BB323)</f>
        <v>0</v>
      </c>
      <c r="AX57" s="376"/>
      <c r="AY57" s="406" t="s">
        <v>35</v>
      </c>
      <c r="AZ57" s="310">
        <f t="shared" si="42"/>
        <v>0</v>
      </c>
      <c r="BA57" s="311" t="s">
        <v>40</v>
      </c>
      <c r="BB57" s="405">
        <f>AW57</f>
        <v>0</v>
      </c>
      <c r="BC57" s="376"/>
      <c r="BD57" s="448" t="s">
        <v>35</v>
      </c>
      <c r="BE57" s="81">
        <f t="shared" si="43"/>
        <v>0</v>
      </c>
      <c r="BF57" s="82" t="s">
        <v>40</v>
      </c>
      <c r="BG57" s="29">
        <f>BG47</f>
        <v>0</v>
      </c>
      <c r="BH57" s="12"/>
      <c r="BI57" s="30" t="s">
        <v>35</v>
      </c>
      <c r="BJ57" s="29">
        <f t="shared" si="44"/>
        <v>0</v>
      </c>
      <c r="BK57" s="30" t="s">
        <v>40</v>
      </c>
      <c r="BL57" s="29">
        <f>IF($A$87=$L$87,"限度超過",IF(BG57=0,0,BG57/$S$5))</f>
        <v>0</v>
      </c>
      <c r="BM57" s="12"/>
      <c r="BN57" s="30" t="s">
        <v>35</v>
      </c>
      <c r="BO57" s="29">
        <f t="shared" si="45"/>
        <v>0</v>
      </c>
      <c r="BP57" s="30" t="s">
        <v>40</v>
      </c>
      <c r="BQ57" s="457">
        <f>IF($A$87=$L$87,"限度超過",IF($S$5&lt;=4,0,BL57))</f>
        <v>0</v>
      </c>
      <c r="BR57" s="12"/>
      <c r="BS57" s="12"/>
      <c r="BT57" s="12"/>
      <c r="BU57" s="12"/>
      <c r="BV57" s="12"/>
      <c r="BW57" s="12"/>
      <c r="BX57" s="32" t="s">
        <v>17</v>
      </c>
      <c r="BY57" s="44">
        <v>0</v>
      </c>
      <c r="BZ57" s="45">
        <f>$CF$8</f>
        <v>18250</v>
      </c>
      <c r="CA57" s="45">
        <f>$CG$8</f>
        <v>13030</v>
      </c>
      <c r="CB57" s="45">
        <f>$CH$8</f>
        <v>5220</v>
      </c>
      <c r="CC57" s="576"/>
      <c r="CD57" s="4"/>
      <c r="CE57" s="4"/>
      <c r="CF57" s="4"/>
      <c r="CG57" s="4"/>
      <c r="CH57" s="4"/>
      <c r="CI57" s="13"/>
      <c r="CK57" s="278"/>
      <c r="CL57" s="281" t="s">
        <v>194</v>
      </c>
      <c r="CM57" s="286">
        <f t="shared" si="39"/>
        <v>540</v>
      </c>
      <c r="CN57" s="290" t="s">
        <v>204</v>
      </c>
      <c r="CO57" s="286">
        <f>IF($CN$59=0,0,IF($CN$59&gt;=1,1,IF($CN$59&lt;=-1,-1,0)))</f>
        <v>-1</v>
      </c>
      <c r="CP57" s="286">
        <f t="shared" si="38"/>
        <v>539</v>
      </c>
      <c r="CR57" s="56"/>
    </row>
    <row r="58" spans="1:96" ht="18" customHeight="1">
      <c r="A58" s="1378"/>
      <c r="B58" s="1556"/>
      <c r="C58" s="1382"/>
      <c r="D58" s="1010"/>
      <c r="E58" s="1389"/>
      <c r="F58" s="1395"/>
      <c r="G58" s="1010"/>
      <c r="H58" s="39">
        <v>100</v>
      </c>
      <c r="I58" s="1385"/>
      <c r="J58" s="1010"/>
      <c r="K58" s="55">
        <v>12</v>
      </c>
      <c r="L58" s="12" t="s">
        <v>5</v>
      </c>
      <c r="M58" s="1395"/>
      <c r="N58" s="1527"/>
      <c r="O58" s="86"/>
      <c r="P58" s="1392"/>
      <c r="Q58" s="1392"/>
      <c r="R58" s="1391"/>
      <c r="S58" s="1524"/>
      <c r="T58" s="72" t="s">
        <v>29</v>
      </c>
      <c r="U58" s="105">
        <f>U56+U57</f>
        <v>0</v>
      </c>
      <c r="V58" s="88" t="s">
        <v>6</v>
      </c>
      <c r="W58" s="30" t="s">
        <v>36</v>
      </c>
      <c r="X58" s="29">
        <f t="shared" si="40"/>
        <v>0</v>
      </c>
      <c r="Y58" s="30" t="s">
        <v>41</v>
      </c>
      <c r="Z58" s="31">
        <f>IF($AH$13&gt;0,0,BB58)</f>
        <v>0</v>
      </c>
      <c r="AA58" s="26"/>
      <c r="AB58" s="26"/>
      <c r="AC58" s="491"/>
      <c r="AD58" s="26"/>
      <c r="AE58" s="486"/>
      <c r="AF58" s="1416"/>
      <c r="AG58" s="26"/>
      <c r="AH58" s="26"/>
      <c r="AI58" s="173"/>
      <c r="AJ58" s="173"/>
      <c r="AK58" s="173"/>
      <c r="AL58" s="173"/>
      <c r="AM58" s="173"/>
      <c r="AN58" s="174"/>
      <c r="AO58" s="325" t="s">
        <v>36</v>
      </c>
      <c r="AP58" s="323">
        <f>ROUNDDOWN(AR60/10,-2)</f>
        <v>0</v>
      </c>
      <c r="AQ58" s="324" t="s">
        <v>41</v>
      </c>
      <c r="AR58" s="355">
        <f>ROUNDDOWN(AR60/10,-2)</f>
        <v>0</v>
      </c>
      <c r="AS58" s="173"/>
      <c r="AT58" s="313" t="s">
        <v>36</v>
      </c>
      <c r="AU58" s="374">
        <f t="shared" si="41"/>
        <v>0</v>
      </c>
      <c r="AV58" s="311" t="s">
        <v>41</v>
      </c>
      <c r="AW58" s="375">
        <f>IF($AG$2&gt;0,"限度超過",AR58-BB147-BB324)</f>
        <v>0</v>
      </c>
      <c r="AX58" s="376"/>
      <c r="AY58" s="406" t="s">
        <v>36</v>
      </c>
      <c r="AZ58" s="310">
        <f t="shared" si="42"/>
        <v>0</v>
      </c>
      <c r="BA58" s="311" t="s">
        <v>41</v>
      </c>
      <c r="BB58" s="405">
        <f>AW58</f>
        <v>0</v>
      </c>
      <c r="BC58" s="376"/>
      <c r="BD58" s="448" t="s">
        <v>36</v>
      </c>
      <c r="BE58" s="81">
        <f t="shared" si="43"/>
        <v>0</v>
      </c>
      <c r="BF58" s="82" t="s">
        <v>41</v>
      </c>
      <c r="BG58" s="29">
        <f>BG48</f>
        <v>0</v>
      </c>
      <c r="BH58" s="12"/>
      <c r="BI58" s="30" t="s">
        <v>36</v>
      </c>
      <c r="BJ58" s="29">
        <f t="shared" si="44"/>
        <v>0</v>
      </c>
      <c r="BK58" s="30" t="s">
        <v>41</v>
      </c>
      <c r="BL58" s="29">
        <f>IF($A$87=$L$87,"限度超過",IF(BG58=0,0,BG58/$S$5))</f>
        <v>0</v>
      </c>
      <c r="BM58" s="12"/>
      <c r="BN58" s="30" t="s">
        <v>36</v>
      </c>
      <c r="BO58" s="29">
        <f t="shared" si="45"/>
        <v>0</v>
      </c>
      <c r="BP58" s="30" t="s">
        <v>41</v>
      </c>
      <c r="BQ58" s="457">
        <f>IF($A$87=$L$87,"限度超過",IF($S$5&lt;=4,0,BL58))</f>
        <v>0</v>
      </c>
      <c r="BR58" s="12"/>
      <c r="BS58" s="12"/>
      <c r="BT58" s="12"/>
      <c r="BU58" s="12"/>
      <c r="BV58" s="12"/>
      <c r="BW58" s="12"/>
      <c r="BX58" s="32" t="s">
        <v>8</v>
      </c>
      <c r="BY58" s="45">
        <f>K60</f>
        <v>0</v>
      </c>
      <c r="BZ58" s="45">
        <f t="shared" ref="BZ58:CB60" si="46">BY58</f>
        <v>0</v>
      </c>
      <c r="CA58" s="45">
        <f t="shared" si="46"/>
        <v>0</v>
      </c>
      <c r="CB58" s="45">
        <f t="shared" si="46"/>
        <v>0</v>
      </c>
      <c r="CC58" s="576">
        <f>CB58</f>
        <v>0</v>
      </c>
      <c r="CD58" s="4"/>
      <c r="CE58" s="4"/>
      <c r="CF58" s="4"/>
      <c r="CG58" s="4"/>
      <c r="CH58" s="4"/>
      <c r="CI58" s="13"/>
      <c r="CK58" s="278"/>
      <c r="CL58" s="281"/>
      <c r="CM58" s="299" t="s">
        <v>206</v>
      </c>
      <c r="CN58" s="291" t="s">
        <v>208</v>
      </c>
      <c r="CO58" s="289"/>
      <c r="CP58" s="289"/>
      <c r="CR58" s="56"/>
    </row>
    <row r="59" spans="1:96" ht="18" customHeight="1">
      <c r="A59" s="165"/>
      <c r="B59" s="12"/>
      <c r="C59" s="50"/>
      <c r="D59" s="12"/>
      <c r="E59" s="12"/>
      <c r="F59" s="12"/>
      <c r="G59" s="12"/>
      <c r="H59" s="91"/>
      <c r="I59" s="75"/>
      <c r="J59" s="75"/>
      <c r="K59" s="92"/>
      <c r="L59" s="75"/>
      <c r="M59" s="93"/>
      <c r="N59" s="578">
        <f>IF(入力画面!E32=1,"未就学児",0)</f>
        <v>0</v>
      </c>
      <c r="O59" s="42">
        <f>IF(H60=0,0,$D$5)</f>
        <v>0</v>
      </c>
      <c r="P59" s="463">
        <f>IF(O60=0,0,"軽減額")</f>
        <v>0</v>
      </c>
      <c r="Q59" s="12"/>
      <c r="R59" s="95"/>
      <c r="S59" s="49"/>
      <c r="T59" s="96" t="s">
        <v>31</v>
      </c>
      <c r="U59" s="105">
        <f>ROUNDDOWN(U58,-2)</f>
        <v>0</v>
      </c>
      <c r="V59" s="88" t="s">
        <v>6</v>
      </c>
      <c r="W59" s="30" t="s">
        <v>43</v>
      </c>
      <c r="X59" s="29">
        <f t="shared" si="40"/>
        <v>0</v>
      </c>
      <c r="Y59" s="30" t="s">
        <v>42</v>
      </c>
      <c r="Z59" s="31">
        <f>IF($AH$13&gt;0,0,BB59)</f>
        <v>0</v>
      </c>
      <c r="AA59" s="4"/>
      <c r="AB59" s="4"/>
      <c r="AC59" s="489"/>
      <c r="AD59" s="4"/>
      <c r="AE59" s="497" t="str">
        <f>IF($AH$13&gt;0,"－",IF($AG$2&gt;0,"限度超過",IF(U60=Z60,"OK","ｱﾝﾏｯﾁ")))</f>
        <v>OK</v>
      </c>
      <c r="AF59" s="496"/>
      <c r="AG59" s="4"/>
      <c r="AI59" s="174"/>
      <c r="AJ59" s="174"/>
      <c r="AK59" s="174"/>
      <c r="AL59" s="174"/>
      <c r="AM59" s="174"/>
      <c r="AN59" s="174"/>
      <c r="AO59" s="325" t="s">
        <v>43</v>
      </c>
      <c r="AP59" s="323">
        <f>ROUNDDOWN(AR60/10,-2)</f>
        <v>0</v>
      </c>
      <c r="AQ59" s="324" t="s">
        <v>42</v>
      </c>
      <c r="AR59" s="355">
        <f>ROUNDDOWN(AR60/10,-2)</f>
        <v>0</v>
      </c>
      <c r="AS59" s="174"/>
      <c r="AT59" s="313" t="s">
        <v>43</v>
      </c>
      <c r="AU59" s="374">
        <f t="shared" si="41"/>
        <v>0</v>
      </c>
      <c r="AV59" s="311" t="s">
        <v>42</v>
      </c>
      <c r="AW59" s="375">
        <f>IF($AG$2&gt;0,"限度超過",AR59-BB148-BB325)</f>
        <v>0</v>
      </c>
      <c r="AX59" s="376"/>
      <c r="AY59" s="406" t="s">
        <v>43</v>
      </c>
      <c r="AZ59" s="310">
        <f t="shared" si="42"/>
        <v>0</v>
      </c>
      <c r="BA59" s="311" t="s">
        <v>42</v>
      </c>
      <c r="BB59" s="405">
        <f>AW59</f>
        <v>0</v>
      </c>
      <c r="BC59" s="376"/>
      <c r="BD59" s="448" t="s">
        <v>43</v>
      </c>
      <c r="BE59" s="81">
        <f t="shared" si="43"/>
        <v>0</v>
      </c>
      <c r="BF59" s="82" t="s">
        <v>42</v>
      </c>
      <c r="BG59" s="29">
        <f>BG49</f>
        <v>0</v>
      </c>
      <c r="BH59" s="12"/>
      <c r="BI59" s="30" t="s">
        <v>43</v>
      </c>
      <c r="BJ59" s="29">
        <f t="shared" si="44"/>
        <v>0</v>
      </c>
      <c r="BK59" s="30" t="s">
        <v>42</v>
      </c>
      <c r="BL59" s="29">
        <f>IF($A$87=$L$87,"限度超過",IF(BG59=0,0,BG59/$S$5))</f>
        <v>0</v>
      </c>
      <c r="BM59" s="12"/>
      <c r="BN59" s="30" t="s">
        <v>43</v>
      </c>
      <c r="BO59" s="29">
        <f t="shared" si="45"/>
        <v>0</v>
      </c>
      <c r="BP59" s="30" t="s">
        <v>42</v>
      </c>
      <c r="BQ59" s="457">
        <f>IF($A$87=$L$87,"限度超過",IF($S$5&lt;=4,0,BL59))</f>
        <v>0</v>
      </c>
      <c r="BR59" s="12"/>
      <c r="BS59" s="12"/>
      <c r="BT59" s="12"/>
      <c r="BU59" s="12"/>
      <c r="BV59" s="12"/>
      <c r="BW59" s="12"/>
      <c r="BX59" s="32" t="s">
        <v>25</v>
      </c>
      <c r="BY59" s="45">
        <f>K61</f>
        <v>0</v>
      </c>
      <c r="BZ59" s="45">
        <f t="shared" si="46"/>
        <v>0</v>
      </c>
      <c r="CA59" s="45">
        <f t="shared" si="46"/>
        <v>0</v>
      </c>
      <c r="CB59" s="45">
        <f t="shared" si="46"/>
        <v>0</v>
      </c>
      <c r="CC59" s="576">
        <f>CB59</f>
        <v>0</v>
      </c>
      <c r="CD59" s="4"/>
      <c r="CE59" s="4"/>
      <c r="CF59" s="4"/>
      <c r="CG59" s="4"/>
      <c r="CH59" s="4"/>
      <c r="CI59" s="13"/>
      <c r="CK59" s="278"/>
      <c r="CL59" s="281" t="s">
        <v>203</v>
      </c>
      <c r="CM59" s="286">
        <f>SUM(CM48:CM57)</f>
        <v>5503</v>
      </c>
      <c r="CN59" s="286">
        <f>CM47-CM59</f>
        <v>-3</v>
      </c>
      <c r="CO59" s="289"/>
      <c r="CP59" s="289"/>
      <c r="CR59" s="56"/>
    </row>
    <row r="60" spans="1:96" ht="18" customHeight="1">
      <c r="A60" s="1378" t="s">
        <v>10</v>
      </c>
      <c r="B60" s="12"/>
      <c r="C60" s="12"/>
      <c r="D60" s="1379" t="s">
        <v>7</v>
      </c>
      <c r="E60" s="1389">
        <f>IF(H60&gt;0,$CE$8,0)</f>
        <v>0</v>
      </c>
      <c r="F60" s="97"/>
      <c r="G60" s="1010" t="s">
        <v>59</v>
      </c>
      <c r="H60" s="1390">
        <f>IF(B55=0,0,SUBTOTAL(3,B55))</f>
        <v>0</v>
      </c>
      <c r="I60" s="1385" t="s">
        <v>22</v>
      </c>
      <c r="J60" s="1010" t="s">
        <v>59</v>
      </c>
      <c r="K60" s="51">
        <f>IF(H60&gt;0,K57,0)</f>
        <v>0</v>
      </c>
      <c r="L60" s="52" t="s">
        <v>5</v>
      </c>
      <c r="M60" s="1527" t="s">
        <v>122</v>
      </c>
      <c r="N60" s="1548">
        <f>IF(O60=0,0,"―")</f>
        <v>0</v>
      </c>
      <c r="O60" s="1525">
        <f>IF(H60=0,0,IF(BY62=0,IF($D$5=7,BZ61,IF($D$5=5,CA61,IF($D$5=2,CB61,CC61))),IF($D$5=7,BZ61+BZ62,IF($D$5=5,CA61+CA62,IF($D$5=2,CB61+CB62,CC61+CC62)))))</f>
        <v>0</v>
      </c>
      <c r="P60" s="1526"/>
      <c r="Q60" s="1392" t="s">
        <v>130</v>
      </c>
      <c r="R60" s="1391">
        <f>IF(H60&gt;0,IF(K57=0,0,ROUNDDOWN(((E60*H60)*K60/K61)-O60,0)),0)</f>
        <v>0</v>
      </c>
      <c r="S60" s="1520" t="s">
        <v>6</v>
      </c>
      <c r="T60" s="1537" t="s">
        <v>32</v>
      </c>
      <c r="U60" s="1522">
        <f>IF($L$87=$A$87,"限度超過!",U58)</f>
        <v>0</v>
      </c>
      <c r="V60" s="1512" t="s">
        <v>6</v>
      </c>
      <c r="W60" s="30" t="s">
        <v>37</v>
      </c>
      <c r="X60" s="29">
        <f t="shared" si="40"/>
        <v>0</v>
      </c>
      <c r="Y60" s="1313" t="s">
        <v>44</v>
      </c>
      <c r="Z60" s="1420">
        <f>IF($AH$13&gt;0,0,BB60)</f>
        <v>0</v>
      </c>
      <c r="AB60" s="4"/>
      <c r="AC60" s="489"/>
      <c r="AD60" s="4"/>
      <c r="AE60" s="497" t="str">
        <f>IF($AG$2&gt;0,"限度超過",IF(X56+X57+X58+X59+X60+X61+Z56+Z57+Z58+Z59=Z60,"OK","エラー"))</f>
        <v>OK</v>
      </c>
      <c r="AF60" s="1521">
        <f>IF(H60&gt;0,IF(K57=0,0,ROUNDDOWN((E60*H60)-O60,0)),0)</f>
        <v>0</v>
      </c>
      <c r="AG60" s="4"/>
      <c r="AI60" s="174"/>
      <c r="AJ60" s="174"/>
      <c r="AK60" s="174"/>
      <c r="AL60" s="174"/>
      <c r="AM60" s="174"/>
      <c r="AN60" s="174"/>
      <c r="AO60" s="325" t="s">
        <v>37</v>
      </c>
      <c r="AP60" s="323">
        <f>ROUNDDOWN(AR60/10,-2)</f>
        <v>0</v>
      </c>
      <c r="AQ60" s="326" t="s">
        <v>44</v>
      </c>
      <c r="AR60" s="327">
        <f>IF($AG$2&gt;0,0,IF($AH$13&gt;0,0,U60+U149+U237+U326))</f>
        <v>0</v>
      </c>
      <c r="AS60" s="174"/>
      <c r="AT60" s="313" t="s">
        <v>37</v>
      </c>
      <c r="AU60" s="374">
        <f t="shared" si="41"/>
        <v>0</v>
      </c>
      <c r="AV60" s="314" t="s">
        <v>44</v>
      </c>
      <c r="AW60" s="312">
        <f>IF($AG$2&gt;0,"限度超過",AU56+AU57+AU58+AU59+AU60+AU61+AW56+AW57+AW58+AW59)</f>
        <v>0</v>
      </c>
      <c r="AX60" s="376"/>
      <c r="AY60" s="406" t="s">
        <v>37</v>
      </c>
      <c r="AZ60" s="310">
        <f t="shared" si="42"/>
        <v>0</v>
      </c>
      <c r="BA60" s="314" t="s">
        <v>44</v>
      </c>
      <c r="BB60" s="405">
        <f>AW60</f>
        <v>0</v>
      </c>
      <c r="BC60" s="376"/>
      <c r="BD60" s="448" t="s">
        <v>37</v>
      </c>
      <c r="BE60" s="81">
        <f t="shared" si="43"/>
        <v>0</v>
      </c>
      <c r="BF60" s="440" t="s">
        <v>44</v>
      </c>
      <c r="BG60" s="29">
        <f>IF($A$87=$L$87,"限度超過",BE56+BE57+BE58+BE59+BE60+BE61+BG56+BG57+BG58+BG59)</f>
        <v>0</v>
      </c>
      <c r="BH60" s="12"/>
      <c r="BI60" s="30" t="s">
        <v>37</v>
      </c>
      <c r="BJ60" s="29">
        <f t="shared" si="44"/>
        <v>0</v>
      </c>
      <c r="BK60" s="98" t="s">
        <v>44</v>
      </c>
      <c r="BL60" s="29">
        <f>IF($A$87=$L$87,"限度超過",BJ56+BJ57+BJ58+BJ59+BJ60+BJ61+BL56+BL57+BL58+BL59)</f>
        <v>0</v>
      </c>
      <c r="BM60" s="12"/>
      <c r="BN60" s="30" t="s">
        <v>37</v>
      </c>
      <c r="BO60" s="29">
        <f t="shared" si="45"/>
        <v>0</v>
      </c>
      <c r="BP60" s="98" t="s">
        <v>44</v>
      </c>
      <c r="BQ60" s="457">
        <f>IF($A$87=$L$87,"限度超過",BO56+BO57+BO58+BO59+BO60+BO61+BQ56+BQ57+BQ58+BQ59)</f>
        <v>0</v>
      </c>
      <c r="BR60" s="12"/>
      <c r="BS60" s="12"/>
      <c r="BT60" s="12"/>
      <c r="BU60" s="12"/>
      <c r="BV60" s="12"/>
      <c r="BW60" s="12"/>
      <c r="BX60" s="32" t="s">
        <v>26</v>
      </c>
      <c r="BY60" s="26">
        <f>H60</f>
        <v>0</v>
      </c>
      <c r="BZ60" s="99">
        <f t="shared" si="46"/>
        <v>0</v>
      </c>
      <c r="CA60" s="99">
        <f t="shared" si="46"/>
        <v>0</v>
      </c>
      <c r="CB60" s="99">
        <f t="shared" si="46"/>
        <v>0</v>
      </c>
      <c r="CC60" s="576">
        <f>CB60</f>
        <v>0</v>
      </c>
      <c r="CD60" s="4"/>
      <c r="CE60" s="4"/>
      <c r="CF60" s="4"/>
      <c r="CG60" s="4"/>
      <c r="CH60" s="4"/>
      <c r="CI60" s="13"/>
      <c r="CK60" s="278"/>
      <c r="CL60" s="281"/>
      <c r="CM60" s="301" t="s">
        <v>209</v>
      </c>
      <c r="CN60" s="289"/>
      <c r="CO60" s="289"/>
      <c r="CP60" s="289"/>
      <c r="CR60" s="56"/>
    </row>
    <row r="61" spans="1:96" ht="18" customHeight="1">
      <c r="A61" s="1378"/>
      <c r="B61" s="12"/>
      <c r="C61" s="12"/>
      <c r="D61" s="1379"/>
      <c r="E61" s="1389"/>
      <c r="F61" s="12"/>
      <c r="G61" s="1010"/>
      <c r="H61" s="1390"/>
      <c r="I61" s="1385"/>
      <c r="J61" s="1010"/>
      <c r="K61" s="180">
        <f>IF(H60&gt;0,K58,0)</f>
        <v>0</v>
      </c>
      <c r="L61" s="12" t="s">
        <v>5</v>
      </c>
      <c r="M61" s="1527"/>
      <c r="N61" s="1548"/>
      <c r="O61" s="1526"/>
      <c r="P61" s="1526"/>
      <c r="Q61" s="1392"/>
      <c r="R61" s="1391"/>
      <c r="S61" s="1520"/>
      <c r="T61" s="1537"/>
      <c r="U61" s="1522"/>
      <c r="V61" s="1512"/>
      <c r="W61" s="30" t="s">
        <v>38</v>
      </c>
      <c r="X61" s="29">
        <f t="shared" si="40"/>
        <v>0</v>
      </c>
      <c r="Y61" s="1422"/>
      <c r="Z61" s="1421"/>
      <c r="AA61" s="73"/>
      <c r="AB61" s="73"/>
      <c r="AC61" s="223"/>
      <c r="AD61" s="73"/>
      <c r="AE61" s="73"/>
      <c r="AF61" s="1416"/>
      <c r="AG61" s="73"/>
      <c r="AH61" s="189"/>
      <c r="AI61" s="175"/>
      <c r="AJ61" s="175"/>
      <c r="AK61" s="175"/>
      <c r="AL61" s="175"/>
      <c r="AM61" s="175"/>
      <c r="AN61" s="174"/>
      <c r="AO61" s="325" t="s">
        <v>38</v>
      </c>
      <c r="AP61" s="323">
        <f>ROUNDDOWN(AR60/10,-2)</f>
        <v>0</v>
      </c>
      <c r="AQ61" s="324"/>
      <c r="AR61" s="328"/>
      <c r="AS61" s="175"/>
      <c r="AT61" s="313" t="s">
        <v>38</v>
      </c>
      <c r="AU61" s="374">
        <f t="shared" si="41"/>
        <v>0</v>
      </c>
      <c r="AV61" s="311" t="s">
        <v>75</v>
      </c>
      <c r="AW61" s="329">
        <f>IF($AG$2&gt;0,"限度超過",U60)</f>
        <v>0</v>
      </c>
      <c r="AX61" s="376"/>
      <c r="AY61" s="406" t="s">
        <v>38</v>
      </c>
      <c r="AZ61" s="310">
        <f t="shared" si="42"/>
        <v>0</v>
      </c>
      <c r="BA61" s="311"/>
      <c r="BB61" s="407"/>
      <c r="BC61" s="376"/>
      <c r="BD61" s="448" t="s">
        <v>38</v>
      </c>
      <c r="BE61" s="81">
        <f t="shared" si="43"/>
        <v>0</v>
      </c>
      <c r="BF61" s="82"/>
      <c r="BG61" s="100"/>
      <c r="BH61" s="12"/>
      <c r="BI61" s="30" t="s">
        <v>38</v>
      </c>
      <c r="BJ61" s="29">
        <f t="shared" si="44"/>
        <v>0</v>
      </c>
      <c r="BK61" s="30"/>
      <c r="BL61" s="100"/>
      <c r="BM61" s="12"/>
      <c r="BN61" s="30" t="s">
        <v>38</v>
      </c>
      <c r="BO61" s="29">
        <f t="shared" si="45"/>
        <v>0</v>
      </c>
      <c r="BP61" s="30"/>
      <c r="BQ61" s="458"/>
      <c r="BR61" s="12"/>
      <c r="BS61" s="12"/>
      <c r="BT61" s="12"/>
      <c r="BU61" s="12"/>
      <c r="BV61" s="12"/>
      <c r="BW61" s="12"/>
      <c r="BX61" s="67" t="s">
        <v>27</v>
      </c>
      <c r="BY61" s="45">
        <f>IF(BY60&gt;0,ROUNDDOWN(BY57*BY60*BY58/BY59,0),0)</f>
        <v>0</v>
      </c>
      <c r="BZ61" s="45">
        <f>IF(BZ60&gt;0,ROUNDDOWN(BZ57*BZ60*BZ58/BZ59,0),0)</f>
        <v>0</v>
      </c>
      <c r="CA61" s="45">
        <f>IF(CA60&gt;0,ROUNDDOWN(CA57*CA60*CA58/CA59,0),0)</f>
        <v>0</v>
      </c>
      <c r="CB61" s="45">
        <f>IF(CB60&gt;0,ROUNDDOWN(CB57*CB60*CB58/CB59,0),0)</f>
        <v>0</v>
      </c>
      <c r="CC61" s="576">
        <v>0</v>
      </c>
      <c r="CD61" s="4"/>
      <c r="CE61" s="4"/>
      <c r="CF61" s="4"/>
      <c r="CG61" s="4"/>
      <c r="CH61" s="4"/>
      <c r="CI61" s="13"/>
      <c r="CJ61" s="56"/>
      <c r="CK61" s="279"/>
      <c r="CL61" s="282"/>
      <c r="CM61" s="300" t="s">
        <v>183</v>
      </c>
      <c r="CN61" s="296"/>
      <c r="CO61" s="296"/>
      <c r="CP61" s="296"/>
      <c r="CR61" s="56"/>
    </row>
    <row r="62" spans="1:96" ht="18" customHeight="1">
      <c r="A62" s="200"/>
      <c r="B62" s="75" t="s">
        <v>118</v>
      </c>
      <c r="C62" s="12"/>
      <c r="D62" s="160"/>
      <c r="E62" s="161"/>
      <c r="F62" s="12"/>
      <c r="G62" s="50"/>
      <c r="H62" s="162"/>
      <c r="I62" s="159"/>
      <c r="J62" s="50"/>
      <c r="K62" s="180"/>
      <c r="L62" s="12"/>
      <c r="M62" s="86"/>
      <c r="N62" s="86"/>
      <c r="O62" s="181"/>
      <c r="P62" s="181"/>
      <c r="Q62" s="156"/>
      <c r="R62" s="157"/>
      <c r="S62" s="49"/>
      <c r="T62" s="50"/>
      <c r="U62" s="182"/>
      <c r="V62" s="50"/>
      <c r="W62" s="4"/>
      <c r="X62" s="26"/>
      <c r="Y62" s="170"/>
      <c r="Z62" s="185"/>
      <c r="AA62" s="26"/>
      <c r="AB62" s="26"/>
      <c r="AC62" s="491"/>
      <c r="AD62" s="26"/>
      <c r="AE62" s="486"/>
      <c r="AF62" s="234"/>
      <c r="AG62" s="26"/>
      <c r="AH62" s="26"/>
      <c r="AI62" s="173"/>
      <c r="AJ62" s="179"/>
      <c r="AK62" s="179"/>
      <c r="AL62" s="179"/>
      <c r="AM62" s="179"/>
      <c r="AN62" s="174"/>
      <c r="AO62" s="483"/>
      <c r="AP62" s="483"/>
      <c r="AQ62" s="484"/>
      <c r="AR62" s="484"/>
      <c r="AS62" s="179"/>
      <c r="AT62" s="378"/>
      <c r="AU62" s="469">
        <f>IF($AG$2&gt;0,"限度超過",0)</f>
        <v>0</v>
      </c>
      <c r="AV62" s="377"/>
      <c r="AW62" s="379" t="str">
        <f>IF(AW60=AW61,"OK","エラー")</f>
        <v>OK</v>
      </c>
      <c r="AX62" s="376"/>
      <c r="AY62" s="408"/>
      <c r="AZ62" s="317"/>
      <c r="BA62" s="316"/>
      <c r="BB62" s="409"/>
      <c r="BC62" s="376"/>
      <c r="BD62" s="449"/>
      <c r="BE62" s="26"/>
      <c r="BF62" s="4" t="s">
        <v>257</v>
      </c>
      <c r="BH62" s="12"/>
      <c r="BJ62" s="26"/>
      <c r="BM62" s="12"/>
      <c r="BO62" s="26"/>
      <c r="BQ62" s="459"/>
      <c r="BR62" s="12"/>
      <c r="BS62" s="12"/>
      <c r="BT62" s="12"/>
      <c r="BU62" s="12"/>
      <c r="BV62" s="12"/>
      <c r="BW62" s="12"/>
      <c r="BX62" s="32" t="s">
        <v>340</v>
      </c>
      <c r="BY62" s="576">
        <f>IF(入力画面!E32=1,1,0)</f>
        <v>0</v>
      </c>
      <c r="BZ62" s="576">
        <f>IF($BY$62=1,ROUNDDOWN(CF12*BZ58/BZ59,0),0)</f>
        <v>0</v>
      </c>
      <c r="CA62" s="576">
        <f>IF($BY$62=1,ROUNDDOWN(CG12*CA58/CA59,0),0)</f>
        <v>0</v>
      </c>
      <c r="CB62" s="576">
        <f>IF($BY$62=1,ROUNDDOWN(CH12*CB58/CB59,0),0)</f>
        <v>0</v>
      </c>
      <c r="CC62" s="576">
        <f>IF($BY$62=1,ROUNDDOWN(CE12*CC58/CC59,0),0)</f>
        <v>0</v>
      </c>
      <c r="CD62" s="4"/>
      <c r="CE62" s="4"/>
      <c r="CF62" s="4"/>
      <c r="CG62" s="4"/>
      <c r="CH62" s="4"/>
      <c r="CI62" s="13"/>
      <c r="CK62" s="12"/>
      <c r="CL62" s="50"/>
      <c r="CM62" s="303"/>
      <c r="CN62" s="304"/>
      <c r="CO62" s="298"/>
      <c r="CR62" s="56"/>
    </row>
    <row r="63" spans="1:96" ht="18" customHeight="1">
      <c r="A63" s="58" t="s">
        <v>1</v>
      </c>
      <c r="B63" s="52"/>
      <c r="C63" s="187">
        <f>IF(H60&gt;0,$X$13,0)</f>
        <v>0</v>
      </c>
      <c r="D63" s="201" t="s">
        <v>6</v>
      </c>
      <c r="E63" s="60" t="s">
        <v>131</v>
      </c>
      <c r="F63" s="1377">
        <f>K57</f>
        <v>0</v>
      </c>
      <c r="G63" s="1377"/>
      <c r="H63" s="214" t="s">
        <v>5</v>
      </c>
      <c r="I63" s="1388" t="s">
        <v>14</v>
      </c>
      <c r="J63" s="1388"/>
      <c r="K63" s="1377">
        <f>C63*F63</f>
        <v>0</v>
      </c>
      <c r="L63" s="1377"/>
      <c r="M63" s="202" t="s">
        <v>6</v>
      </c>
      <c r="N63" s="202"/>
      <c r="O63" s="203"/>
      <c r="P63" s="203"/>
      <c r="Q63" s="63"/>
      <c r="R63" s="204"/>
      <c r="S63" s="59"/>
      <c r="T63" s="27"/>
      <c r="U63" s="205"/>
      <c r="V63" s="27"/>
      <c r="W63" s="186"/>
      <c r="X63" s="187"/>
      <c r="Y63" s="206"/>
      <c r="Z63" s="163"/>
      <c r="AA63" s="26"/>
      <c r="AB63" s="26"/>
      <c r="AC63" s="491"/>
      <c r="AD63" s="26"/>
      <c r="AE63" s="486"/>
      <c r="AF63" s="235"/>
      <c r="AG63" s="26"/>
      <c r="AH63" s="26"/>
      <c r="AI63" s="173"/>
      <c r="AJ63" s="179"/>
      <c r="AK63" s="179"/>
      <c r="AL63" s="179"/>
      <c r="AM63" s="179"/>
      <c r="AN63" s="174"/>
      <c r="AO63" s="1528" t="s">
        <v>252</v>
      </c>
      <c r="AP63" s="1528"/>
      <c r="AQ63" s="484"/>
      <c r="AR63" s="484"/>
      <c r="AS63" s="179"/>
      <c r="AT63" s="1475" t="s">
        <v>245</v>
      </c>
      <c r="AU63" s="1475"/>
      <c r="AV63" s="381"/>
      <c r="AW63" s="381"/>
      <c r="AX63" s="376"/>
      <c r="AY63" s="1495" t="s">
        <v>245</v>
      </c>
      <c r="AZ63" s="1475"/>
      <c r="BA63" s="316"/>
      <c r="BB63" s="409"/>
      <c r="BC63" s="376"/>
      <c r="BD63" s="449"/>
      <c r="BE63" s="26"/>
      <c r="BF63" s="4" t="s">
        <v>258</v>
      </c>
      <c r="BH63" s="12"/>
      <c r="BJ63" s="26"/>
      <c r="BM63" s="12"/>
      <c r="BO63" s="26"/>
      <c r="BQ63" s="459"/>
      <c r="BR63" s="12"/>
      <c r="BS63" s="12"/>
      <c r="BT63" s="12"/>
      <c r="BU63" s="12"/>
      <c r="BV63" s="12"/>
      <c r="BW63" s="12"/>
      <c r="BX63" s="4"/>
      <c r="BY63" s="26"/>
      <c r="BZ63" s="26"/>
      <c r="CA63" s="26"/>
      <c r="CB63" s="26"/>
      <c r="CC63" s="4"/>
      <c r="CD63" s="4"/>
      <c r="CE63" s="4"/>
      <c r="CF63" s="4"/>
      <c r="CG63" s="4"/>
      <c r="CH63" s="4"/>
      <c r="CI63" s="13"/>
      <c r="CK63" s="1483" t="s">
        <v>199</v>
      </c>
      <c r="CL63" s="1273" t="s">
        <v>196</v>
      </c>
      <c r="CM63" s="1459" t="s">
        <v>179</v>
      </c>
      <c r="CN63" s="293" t="s">
        <v>176</v>
      </c>
      <c r="CO63" s="1462" t="s">
        <v>214</v>
      </c>
      <c r="CP63" s="1446" t="s">
        <v>205</v>
      </c>
      <c r="CR63" s="56"/>
    </row>
    <row r="64" spans="1:96" ht="18" customHeight="1">
      <c r="D64" s="101"/>
      <c r="E64" s="70"/>
      <c r="G64" s="9"/>
      <c r="H64" s="102"/>
      <c r="I64" s="5"/>
      <c r="J64" s="9"/>
      <c r="K64" s="18"/>
      <c r="M64" s="103"/>
      <c r="P64" s="103"/>
      <c r="Q64" s="70"/>
      <c r="R64" s="104"/>
      <c r="S64" s="68"/>
      <c r="T64" s="68"/>
      <c r="U64" s="68"/>
      <c r="V64" s="18"/>
      <c r="AA64" s="26"/>
      <c r="AB64" s="26"/>
      <c r="AC64" s="491"/>
      <c r="AD64" s="26"/>
      <c r="AE64" s="486"/>
      <c r="AF64" s="231"/>
      <c r="AG64" s="26"/>
      <c r="AH64" s="26"/>
      <c r="AI64" s="173"/>
      <c r="AJ64" s="173"/>
      <c r="AK64" s="173"/>
      <c r="AL64" s="173"/>
      <c r="AM64" s="173"/>
      <c r="AN64" s="174"/>
      <c r="AO64" s="321" t="s">
        <v>45</v>
      </c>
      <c r="AP64" s="343" t="s">
        <v>212</v>
      </c>
      <c r="AQ64" s="1473" t="s">
        <v>211</v>
      </c>
      <c r="AR64" s="1473"/>
      <c r="AS64" s="173"/>
      <c r="AT64" s="1474" t="s">
        <v>430</v>
      </c>
      <c r="AU64" s="1474"/>
      <c r="AV64" s="1474"/>
      <c r="AW64" s="1474"/>
      <c r="AX64" s="376"/>
      <c r="AY64" s="403" t="s">
        <v>254</v>
      </c>
      <c r="AZ64" s="1498" t="s">
        <v>255</v>
      </c>
      <c r="BA64" s="1498"/>
      <c r="BB64" s="1499"/>
      <c r="BC64" s="376"/>
      <c r="BD64" s="1426" t="s">
        <v>256</v>
      </c>
      <c r="BE64" s="1427"/>
      <c r="BF64" s="1427"/>
      <c r="BG64" s="1427"/>
      <c r="BH64" s="12"/>
      <c r="BI64" s="437" t="s">
        <v>259</v>
      </c>
      <c r="BJ64" s="1438" t="s">
        <v>260</v>
      </c>
      <c r="BK64" s="1438"/>
      <c r="BL64" s="1438"/>
      <c r="BM64" s="12"/>
      <c r="BO64" s="143" t="s">
        <v>126</v>
      </c>
      <c r="BP64" s="12" t="s">
        <v>88</v>
      </c>
      <c r="BQ64" s="446"/>
      <c r="BR64" s="12"/>
      <c r="BS64" s="12"/>
      <c r="BT64" s="12"/>
      <c r="BU64" s="12"/>
      <c r="BV64" s="12"/>
      <c r="BW64" s="12"/>
      <c r="BX64" s="4"/>
      <c r="BY64" s="4"/>
      <c r="BZ64" s="4"/>
      <c r="CA64" s="4"/>
      <c r="CB64" s="4"/>
      <c r="CC64" s="4"/>
      <c r="CD64" s="4"/>
      <c r="CE64" s="4"/>
      <c r="CF64" s="4"/>
      <c r="CG64" s="4"/>
      <c r="CH64" s="4"/>
      <c r="CI64" s="13"/>
      <c r="CK64" s="1484"/>
      <c r="CL64" s="1274"/>
      <c r="CM64" s="1460"/>
      <c r="CN64" s="667" t="s">
        <v>180</v>
      </c>
      <c r="CO64" s="1463"/>
      <c r="CP64" s="1447"/>
      <c r="CR64" s="56"/>
    </row>
    <row r="65" spans="1:96" ht="18" customHeight="1">
      <c r="A65" s="194" t="s">
        <v>45</v>
      </c>
      <c r="B65" s="1396">
        <f>入力画面!C37</f>
        <v>0</v>
      </c>
      <c r="C65" s="1396"/>
      <c r="D65" s="1396"/>
      <c r="E65" s="196" t="s">
        <v>11</v>
      </c>
      <c r="F65" s="1398" t="s">
        <v>57</v>
      </c>
      <c r="G65" s="1398"/>
      <c r="H65" s="1398"/>
      <c r="I65" s="1380">
        <f>IF(入力画面!I39&gt;0,1,0)</f>
        <v>0</v>
      </c>
      <c r="J65" s="1381"/>
      <c r="K65" s="1515">
        <f>IF(H70=0,0,IF($K$8=0, "加入月が未入力です!！",IF($L$87=$A$87,"限度超過額に達しているため計算不可能!!",IF(U67-U66=U68,"エラー名前を入力されているが加入月未入力!！",IF(H70&gt;K67,"加入月未入力エラー!！",0)))))</f>
        <v>0</v>
      </c>
      <c r="L65" s="1516"/>
      <c r="M65" s="1516"/>
      <c r="N65" s="1516"/>
      <c r="O65" s="1516"/>
      <c r="P65" s="1516"/>
      <c r="Q65" s="1516"/>
      <c r="R65" s="1516"/>
      <c r="S65" s="1517"/>
      <c r="T65" s="195" t="s">
        <v>47</v>
      </c>
      <c r="U65" s="1417">
        <f>IF(U70&gt;0,"医療分",0)</f>
        <v>0</v>
      </c>
      <c r="V65" s="1418"/>
      <c r="W65" s="1419" t="s">
        <v>46</v>
      </c>
      <c r="X65" s="1278"/>
      <c r="Y65" s="1278"/>
      <c r="Z65" s="1279"/>
      <c r="AA65" s="26"/>
      <c r="AB65" s="26"/>
      <c r="AC65" s="491"/>
      <c r="AD65" s="26"/>
      <c r="AE65" s="486"/>
      <c r="AF65" s="236" t="s">
        <v>117</v>
      </c>
      <c r="AG65" s="26"/>
      <c r="AH65" s="274">
        <f>IF(K67=0,0,IF(K67&lt;12,1,0))</f>
        <v>0</v>
      </c>
      <c r="AI65" s="173"/>
      <c r="AJ65" s="173"/>
      <c r="AK65" s="173"/>
      <c r="AL65" s="173"/>
      <c r="AM65" s="173"/>
      <c r="AN65" s="366" t="s">
        <v>149</v>
      </c>
      <c r="AO65" s="1553" t="s">
        <v>46</v>
      </c>
      <c r="AP65" s="1554"/>
      <c r="AQ65" s="1478">
        <f>IF(R67+R70=0,0,IF(K68&gt;K67,"期割がアンマッチ使用禁止↓",0))</f>
        <v>0</v>
      </c>
      <c r="AR65" s="1479"/>
      <c r="AS65" s="173"/>
      <c r="AT65" s="1494" t="s">
        <v>46</v>
      </c>
      <c r="AU65" s="1477"/>
      <c r="AV65" s="1491"/>
      <c r="AW65" s="1493"/>
      <c r="AX65" s="376"/>
      <c r="AY65" s="1476" t="s">
        <v>46</v>
      </c>
      <c r="AZ65" s="1477"/>
      <c r="BA65" s="1491">
        <f>IF($R$17+$R70=0,0,IF($K$18&gt;$K$17,"期割がアンマッチ使用禁止↓",0))</f>
        <v>0</v>
      </c>
      <c r="BB65" s="1492"/>
      <c r="BC65" s="376"/>
      <c r="BD65" s="1435" t="s">
        <v>46</v>
      </c>
      <c r="BE65" s="1434"/>
      <c r="BF65" s="1436" t="s">
        <v>87</v>
      </c>
      <c r="BG65" s="1437"/>
      <c r="BH65" s="12"/>
      <c r="BI65" s="1253" t="s">
        <v>46</v>
      </c>
      <c r="BJ65" s="1434"/>
      <c r="BK65" s="1431"/>
      <c r="BL65" s="1433"/>
      <c r="BM65" s="12"/>
      <c r="BN65" s="1253" t="s">
        <v>46</v>
      </c>
      <c r="BO65" s="1434"/>
      <c r="BP65" s="1431"/>
      <c r="BQ65" s="1432"/>
      <c r="BR65" s="12"/>
      <c r="BS65" s="12"/>
      <c r="BT65" s="12"/>
      <c r="BU65" s="12"/>
      <c r="BV65" s="12"/>
      <c r="BW65" s="12"/>
      <c r="BX65" s="4"/>
      <c r="BY65" s="4"/>
      <c r="BZ65" s="4"/>
      <c r="CA65" s="4"/>
      <c r="CB65" s="4"/>
      <c r="CC65" s="4"/>
      <c r="CD65" s="4"/>
      <c r="CE65" s="4"/>
      <c r="CF65" s="4"/>
      <c r="CG65" s="4"/>
      <c r="CH65" s="4"/>
      <c r="CI65" s="13"/>
      <c r="CK65" s="1456" t="s">
        <v>195</v>
      </c>
      <c r="CL65" s="280" t="s">
        <v>202</v>
      </c>
      <c r="CM65" s="309">
        <f>L353</f>
        <v>0</v>
      </c>
      <c r="CN65" s="288">
        <f>IF(CM14=0,0,ROUNDDOWN(CM65/CM14,8))</f>
        <v>0</v>
      </c>
      <c r="CO65" s="287" t="str">
        <f>IF(SUM(CO66:CO75)=CN77,"計算ＯＫ","エラー発生")</f>
        <v>計算ＯＫ</v>
      </c>
      <c r="CP65" s="285">
        <f>SUM(CP66:CP75)</f>
        <v>0</v>
      </c>
      <c r="CQ65" s="115" t="str">
        <f>IF(CM65=CP65,"ＯＫ","エラー")</f>
        <v>ＯＫ</v>
      </c>
      <c r="CR65" s="56"/>
    </row>
    <row r="66" spans="1:96" ht="18" customHeight="1">
      <c r="A66" s="165"/>
      <c r="B66" s="12"/>
      <c r="C66" s="75" t="s">
        <v>33</v>
      </c>
      <c r="D66" s="12"/>
      <c r="E66" s="12"/>
      <c r="F66" s="1394" t="s">
        <v>433</v>
      </c>
      <c r="G66" s="1394"/>
      <c r="H66" s="1394"/>
      <c r="I66" s="1380">
        <f>IF(入力画面!I40&gt;0,1,0)</f>
        <v>0</v>
      </c>
      <c r="J66" s="1381"/>
      <c r="K66" s="76" t="s">
        <v>9</v>
      </c>
      <c r="L66" s="12"/>
      <c r="M66" s="1551"/>
      <c r="N66" s="1551"/>
      <c r="O66" s="1551"/>
      <c r="P66" s="1551"/>
      <c r="Q66" s="1551"/>
      <c r="R66" s="1551"/>
      <c r="S66" s="1552"/>
      <c r="T66" s="72" t="s">
        <v>30</v>
      </c>
      <c r="U66" s="105">
        <f>R67+R70</f>
        <v>0</v>
      </c>
      <c r="V66" s="88" t="s">
        <v>6</v>
      </c>
      <c r="W66" s="80" t="s">
        <v>34</v>
      </c>
      <c r="X66" s="29">
        <f t="shared" ref="X66:X71" si="47">IF($AH$13&gt;0,0,AZ66)</f>
        <v>0</v>
      </c>
      <c r="Y66" s="80" t="s">
        <v>39</v>
      </c>
      <c r="Z66" s="31">
        <f>IF($AH$13&gt;0,0,BB66)</f>
        <v>0</v>
      </c>
      <c r="AA66" s="4"/>
      <c r="AB66" s="4"/>
      <c r="AC66" s="489"/>
      <c r="AD66" s="4"/>
      <c r="AE66" s="74"/>
      <c r="AF66" s="217">
        <f>AF67+AF70+AF73</f>
        <v>0</v>
      </c>
      <c r="AG66" s="4"/>
      <c r="AH66" s="4"/>
      <c r="AI66" s="174"/>
      <c r="AJ66" s="174"/>
      <c r="AK66" s="174"/>
      <c r="AL66" s="174"/>
      <c r="AM66" s="174"/>
      <c r="AN66" s="174"/>
      <c r="AO66" s="322" t="s">
        <v>34</v>
      </c>
      <c r="AP66" s="323">
        <f>AR70-(AP67+AP68+AP69+AP70+AP71+AR66+AR67+AR68+AR69)</f>
        <v>0</v>
      </c>
      <c r="AQ66" s="324" t="s">
        <v>39</v>
      </c>
      <c r="AR66" s="355">
        <f>ROUNDDOWN(AR70/10,-2)</f>
        <v>0</v>
      </c>
      <c r="AS66" s="174"/>
      <c r="AT66" s="313" t="s">
        <v>34</v>
      </c>
      <c r="AU66" s="374">
        <f t="shared" ref="AU66:AU71" si="48">IF($AG$2&gt;0,"限度超過",AP66-AZ155-AZ332)</f>
        <v>0</v>
      </c>
      <c r="AV66" s="311" t="s">
        <v>39</v>
      </c>
      <c r="AW66" s="375">
        <f>IF($AG$2&gt;0,"限度超過",AR66-BB155-BB332)</f>
        <v>0</v>
      </c>
      <c r="AX66" s="376"/>
      <c r="AY66" s="404" t="s">
        <v>34</v>
      </c>
      <c r="AZ66" s="310">
        <f t="shared" ref="AZ66:AZ71" si="49">AU66</f>
        <v>0</v>
      </c>
      <c r="BA66" s="311" t="s">
        <v>39</v>
      </c>
      <c r="BB66" s="405">
        <f>AW66</f>
        <v>0</v>
      </c>
      <c r="BC66" s="376"/>
      <c r="BD66" s="448" t="s">
        <v>34</v>
      </c>
      <c r="BE66" s="81">
        <f t="shared" ref="BE66:BE71" si="50">BE56</f>
        <v>0</v>
      </c>
      <c r="BF66" s="82" t="s">
        <v>39</v>
      </c>
      <c r="BG66" s="29">
        <f>BG56</f>
        <v>0</v>
      </c>
      <c r="BH66" s="12"/>
      <c r="BI66" s="80" t="s">
        <v>34</v>
      </c>
      <c r="BJ66" s="29">
        <f t="shared" ref="BJ66:BJ71" si="51">IF($A$87=$L$87,"限度超過",IF(BE66=0,0,BE66/$S$5))</f>
        <v>0</v>
      </c>
      <c r="BK66" s="80" t="s">
        <v>39</v>
      </c>
      <c r="BL66" s="29">
        <f>IF($A$87=$L$87,"限度超過",IF(BG66=0,0,BG66/$S$5))</f>
        <v>0</v>
      </c>
      <c r="BM66" s="12"/>
      <c r="BN66" s="30" t="s">
        <v>34</v>
      </c>
      <c r="BO66" s="29">
        <f t="shared" ref="BO66:BO71" si="52">IF($A$87=$L$87,"限度超過",IF($S$5&lt;=5,0,BJ66))</f>
        <v>0</v>
      </c>
      <c r="BP66" s="80" t="s">
        <v>39</v>
      </c>
      <c r="BQ66" s="457">
        <f>IF($A$87=$L$87,"限度超過",IF($S$5&lt;=5,0,BL66))</f>
        <v>0</v>
      </c>
      <c r="BR66" s="12"/>
      <c r="BS66" s="12"/>
      <c r="BT66" s="12"/>
      <c r="BU66" s="12"/>
      <c r="BV66" s="12"/>
      <c r="BW66" s="12"/>
      <c r="BX66" s="32"/>
      <c r="BY66" s="33" t="str">
        <f>BY56</f>
        <v>料率</v>
      </c>
      <c r="BZ66" s="33">
        <f>BZ56</f>
        <v>7</v>
      </c>
      <c r="CA66" s="33">
        <f>CA56</f>
        <v>5</v>
      </c>
      <c r="CB66" s="33">
        <f>CB56</f>
        <v>2</v>
      </c>
      <c r="CC66" s="576" t="s">
        <v>341</v>
      </c>
      <c r="CD66" s="4"/>
      <c r="CE66" s="4"/>
      <c r="CF66" s="4"/>
      <c r="CG66" s="4"/>
      <c r="CH66" s="4"/>
      <c r="CI66" s="13"/>
      <c r="CK66" s="1456"/>
      <c r="CL66" s="281" t="s">
        <v>185</v>
      </c>
      <c r="CM66" s="286">
        <f>ROUND(CM15*$CN$65,0)</f>
        <v>0</v>
      </c>
      <c r="CN66" s="305" t="s">
        <v>207</v>
      </c>
      <c r="CO66" s="286">
        <f>IF($CN$77=0,0,IF($CN$77&gt;=10,1,IF($CN$77&lt;=-10,-1,0)))</f>
        <v>0</v>
      </c>
      <c r="CP66" s="286">
        <f t="shared" ref="CP66:CP75" si="53">CM66+CO66</f>
        <v>0</v>
      </c>
      <c r="CR66" s="56"/>
    </row>
    <row r="67" spans="1:96" ht="18" customHeight="1">
      <c r="A67" s="1378" t="s">
        <v>0</v>
      </c>
      <c r="B67" s="1556" t="s">
        <v>129</v>
      </c>
      <c r="C67" s="1382">
        <f>入力画面!R39</f>
        <v>0</v>
      </c>
      <c r="D67" s="1010" t="s">
        <v>58</v>
      </c>
      <c r="E67" s="1389">
        <f>IF(H70&gt;0,$CE$11, 0)</f>
        <v>0</v>
      </c>
      <c r="F67" s="1395" t="s">
        <v>22</v>
      </c>
      <c r="G67" s="1010" t="s">
        <v>59</v>
      </c>
      <c r="H67" s="85">
        <f>IF(H70&gt;0,$CE$7,0)</f>
        <v>0</v>
      </c>
      <c r="I67" s="1385" t="s">
        <v>22</v>
      </c>
      <c r="J67" s="1010" t="s">
        <v>59</v>
      </c>
      <c r="K67" s="51">
        <f>入力画面!I38</f>
        <v>0</v>
      </c>
      <c r="L67" s="52" t="s">
        <v>5</v>
      </c>
      <c r="M67" s="1395"/>
      <c r="N67" s="1527"/>
      <c r="O67" s="86"/>
      <c r="P67" s="1392" t="s">
        <v>130</v>
      </c>
      <c r="Q67" s="1392"/>
      <c r="R67" s="1391">
        <f>ROUNDDOWN(IF(((C67-E67)*H67/H68)*K67/K68&lt;0,0,((C67-E67)*H67/H68)*K67/K68),0)</f>
        <v>0</v>
      </c>
      <c r="S67" s="1524" t="s">
        <v>6</v>
      </c>
      <c r="T67" s="72" t="s">
        <v>1</v>
      </c>
      <c r="U67" s="105">
        <f>IF(H70=0,0,K73)</f>
        <v>0</v>
      </c>
      <c r="V67" s="88" t="s">
        <v>6</v>
      </c>
      <c r="W67" s="30" t="s">
        <v>35</v>
      </c>
      <c r="X67" s="29">
        <f t="shared" si="47"/>
        <v>0</v>
      </c>
      <c r="Y67" s="30" t="s">
        <v>40</v>
      </c>
      <c r="Z67" s="31">
        <f>IF($AH$13&gt;0,0,BB67)</f>
        <v>0</v>
      </c>
      <c r="AB67" s="4"/>
      <c r="AC67" s="489"/>
      <c r="AD67" s="4"/>
      <c r="AE67" s="74"/>
      <c r="AF67" s="1416">
        <f>ROUNDDOWN(IF(((C67-E67)*H67/H68)&lt;0,0,((C67-E67)*H67/H68)),0)</f>
        <v>0</v>
      </c>
      <c r="AG67" s="4"/>
      <c r="AH67" s="4"/>
      <c r="AI67" s="174"/>
      <c r="AJ67" s="174"/>
      <c r="AK67" s="174"/>
      <c r="AL67" s="174"/>
      <c r="AM67" s="174"/>
      <c r="AN67" s="174"/>
      <c r="AO67" s="325" t="s">
        <v>35</v>
      </c>
      <c r="AP67" s="323">
        <f>ROUNDDOWN(AR70/10,-2)</f>
        <v>0</v>
      </c>
      <c r="AQ67" s="324" t="s">
        <v>40</v>
      </c>
      <c r="AR67" s="355">
        <f>ROUNDDOWN(AR70/10,-2)</f>
        <v>0</v>
      </c>
      <c r="AS67" s="174"/>
      <c r="AT67" s="313" t="s">
        <v>35</v>
      </c>
      <c r="AU67" s="374">
        <f t="shared" si="48"/>
        <v>0</v>
      </c>
      <c r="AV67" s="311" t="s">
        <v>40</v>
      </c>
      <c r="AW67" s="375">
        <f>IF($AG$2&gt;0,"限度超過",AR67-BB156-BB333)</f>
        <v>0</v>
      </c>
      <c r="AX67" s="376"/>
      <c r="AY67" s="406" t="s">
        <v>35</v>
      </c>
      <c r="AZ67" s="310">
        <f t="shared" si="49"/>
        <v>0</v>
      </c>
      <c r="BA67" s="311" t="s">
        <v>40</v>
      </c>
      <c r="BB67" s="405">
        <f>AW67</f>
        <v>0</v>
      </c>
      <c r="BC67" s="376"/>
      <c r="BD67" s="448" t="s">
        <v>35</v>
      </c>
      <c r="BE67" s="81">
        <f t="shared" si="50"/>
        <v>0</v>
      </c>
      <c r="BF67" s="82" t="s">
        <v>40</v>
      </c>
      <c r="BG67" s="29">
        <f>BG57</f>
        <v>0</v>
      </c>
      <c r="BH67" s="12"/>
      <c r="BI67" s="30" t="s">
        <v>35</v>
      </c>
      <c r="BJ67" s="29">
        <f t="shared" si="51"/>
        <v>0</v>
      </c>
      <c r="BK67" s="30" t="s">
        <v>40</v>
      </c>
      <c r="BL67" s="29">
        <f>IF($A$87=$L$87,"限度超過",IF(BG67=0,0,BG67/$S$5))</f>
        <v>0</v>
      </c>
      <c r="BM67" s="12"/>
      <c r="BN67" s="30" t="s">
        <v>35</v>
      </c>
      <c r="BO67" s="29">
        <f t="shared" si="52"/>
        <v>0</v>
      </c>
      <c r="BP67" s="30" t="s">
        <v>40</v>
      </c>
      <c r="BQ67" s="457">
        <f>IF($A$87=$L$87,"限度超過",IF($S$5&lt;=5,0,BL67))</f>
        <v>0</v>
      </c>
      <c r="BR67" s="12"/>
      <c r="BS67" s="12"/>
      <c r="BT67" s="12"/>
      <c r="BU67" s="12"/>
      <c r="BV67" s="12"/>
      <c r="BW67" s="12"/>
      <c r="BX67" s="32" t="s">
        <v>17</v>
      </c>
      <c r="BY67" s="44">
        <v>0</v>
      </c>
      <c r="BZ67" s="45">
        <f>$CF$8</f>
        <v>18250</v>
      </c>
      <c r="CA67" s="45">
        <f>$CG$8</f>
        <v>13030</v>
      </c>
      <c r="CB67" s="45">
        <f>$CH$8</f>
        <v>5220</v>
      </c>
      <c r="CC67" s="576"/>
      <c r="CD67" s="4"/>
      <c r="CE67" s="4"/>
      <c r="CF67" s="4"/>
      <c r="CG67" s="4"/>
      <c r="CH67" s="4"/>
      <c r="CI67" s="13"/>
      <c r="CK67" s="1456"/>
      <c r="CL67" s="281" t="s">
        <v>186</v>
      </c>
      <c r="CM67" s="286">
        <f t="shared" ref="CM67:CM75" si="54">ROUND(CM16*$CN$65,0)</f>
        <v>0</v>
      </c>
      <c r="CN67" s="302" t="s">
        <v>182</v>
      </c>
      <c r="CO67" s="286">
        <f>IF($CN$77=0,0,IF($CN$77&gt;=9,1,IF($CN$77&lt;=-9,-1,0)))</f>
        <v>0</v>
      </c>
      <c r="CP67" s="286">
        <f t="shared" si="53"/>
        <v>0</v>
      </c>
      <c r="CR67" s="56"/>
    </row>
    <row r="68" spans="1:96" ht="18" customHeight="1">
      <c r="A68" s="1378"/>
      <c r="B68" s="1556"/>
      <c r="C68" s="1382"/>
      <c r="D68" s="1010"/>
      <c r="E68" s="1389"/>
      <c r="F68" s="1395"/>
      <c r="G68" s="1010"/>
      <c r="H68" s="39">
        <v>100</v>
      </c>
      <c r="I68" s="1385"/>
      <c r="J68" s="1010"/>
      <c r="K68" s="55">
        <v>12</v>
      </c>
      <c r="L68" s="12" t="s">
        <v>5</v>
      </c>
      <c r="M68" s="1395"/>
      <c r="N68" s="1527"/>
      <c r="O68" s="86"/>
      <c r="P68" s="1392"/>
      <c r="Q68" s="1392"/>
      <c r="R68" s="1391"/>
      <c r="S68" s="1524"/>
      <c r="T68" s="72" t="s">
        <v>29</v>
      </c>
      <c r="U68" s="105">
        <f>U66+U67</f>
        <v>0</v>
      </c>
      <c r="V68" s="88" t="s">
        <v>6</v>
      </c>
      <c r="W68" s="30" t="s">
        <v>36</v>
      </c>
      <c r="X68" s="29">
        <f t="shared" si="47"/>
        <v>0</v>
      </c>
      <c r="Y68" s="30" t="s">
        <v>41</v>
      </c>
      <c r="Z68" s="31">
        <f>IF($AH$13&gt;0,0,BB68)</f>
        <v>0</v>
      </c>
      <c r="AB68" s="4"/>
      <c r="AC68" s="489"/>
      <c r="AD68" s="4"/>
      <c r="AE68" s="74"/>
      <c r="AF68" s="1416"/>
      <c r="AG68" s="4"/>
      <c r="AH68" s="4"/>
      <c r="AI68" s="174"/>
      <c r="AJ68" s="174"/>
      <c r="AK68" s="174"/>
      <c r="AL68" s="174"/>
      <c r="AM68" s="174"/>
      <c r="AN68" s="174"/>
      <c r="AO68" s="325" t="s">
        <v>36</v>
      </c>
      <c r="AP68" s="323">
        <f>ROUNDDOWN(AR70/10,-2)</f>
        <v>0</v>
      </c>
      <c r="AQ68" s="324" t="s">
        <v>41</v>
      </c>
      <c r="AR68" s="355">
        <f>ROUNDDOWN(AR70/10,-2)</f>
        <v>0</v>
      </c>
      <c r="AS68" s="174"/>
      <c r="AT68" s="313" t="s">
        <v>36</v>
      </c>
      <c r="AU68" s="374">
        <f t="shared" si="48"/>
        <v>0</v>
      </c>
      <c r="AV68" s="311" t="s">
        <v>41</v>
      </c>
      <c r="AW68" s="375">
        <f>IF($AG$2&gt;0,"限度超過",AR68-BB157-BB334)</f>
        <v>0</v>
      </c>
      <c r="AX68" s="376"/>
      <c r="AY68" s="406" t="s">
        <v>36</v>
      </c>
      <c r="AZ68" s="310">
        <f t="shared" si="49"/>
        <v>0</v>
      </c>
      <c r="BA68" s="311" t="s">
        <v>41</v>
      </c>
      <c r="BB68" s="405">
        <f>AW68</f>
        <v>0</v>
      </c>
      <c r="BC68" s="376"/>
      <c r="BD68" s="448" t="s">
        <v>36</v>
      </c>
      <c r="BE68" s="81">
        <f t="shared" si="50"/>
        <v>0</v>
      </c>
      <c r="BF68" s="82" t="s">
        <v>41</v>
      </c>
      <c r="BG68" s="29">
        <f>BG58</f>
        <v>0</v>
      </c>
      <c r="BH68" s="12"/>
      <c r="BI68" s="30" t="s">
        <v>36</v>
      </c>
      <c r="BJ68" s="29">
        <f t="shared" si="51"/>
        <v>0</v>
      </c>
      <c r="BK68" s="30" t="s">
        <v>41</v>
      </c>
      <c r="BL68" s="29">
        <f>IF($A$87=$L$87,"限度超過",IF(BG68=0,0,BG68/$S$5))</f>
        <v>0</v>
      </c>
      <c r="BM68" s="12"/>
      <c r="BN68" s="30" t="s">
        <v>36</v>
      </c>
      <c r="BO68" s="29">
        <f t="shared" si="52"/>
        <v>0</v>
      </c>
      <c r="BP68" s="30" t="s">
        <v>41</v>
      </c>
      <c r="BQ68" s="457">
        <f>IF($A$87=$L$87,"限度超過",IF($S$5&lt;=5,0,BL68))</f>
        <v>0</v>
      </c>
      <c r="BR68" s="12"/>
      <c r="BS68" s="12"/>
      <c r="BT68" s="12"/>
      <c r="BU68" s="12"/>
      <c r="BV68" s="12"/>
      <c r="BW68" s="12"/>
      <c r="BX68" s="32" t="s">
        <v>8</v>
      </c>
      <c r="BY68" s="45">
        <f>K70</f>
        <v>0</v>
      </c>
      <c r="BZ68" s="45">
        <f t="shared" ref="BZ68:CB70" si="55">BY68</f>
        <v>0</v>
      </c>
      <c r="CA68" s="45">
        <f t="shared" si="55"/>
        <v>0</v>
      </c>
      <c r="CB68" s="45">
        <f t="shared" si="55"/>
        <v>0</v>
      </c>
      <c r="CC68" s="576">
        <f>CB68</f>
        <v>0</v>
      </c>
      <c r="CD68" s="4"/>
      <c r="CE68" s="4"/>
      <c r="CF68" s="4"/>
      <c r="CG68" s="4"/>
      <c r="CH68" s="4"/>
      <c r="CI68" s="13"/>
      <c r="CK68" s="1456"/>
      <c r="CL68" s="281" t="s">
        <v>187</v>
      </c>
      <c r="CM68" s="286">
        <f t="shared" si="54"/>
        <v>0</v>
      </c>
      <c r="CN68" s="289" t="s">
        <v>201</v>
      </c>
      <c r="CO68" s="286">
        <f>IF($CN$77=0,0,IF($CN$77&gt;=8,1,IF($CN$77&lt;=-8,-1,0)))</f>
        <v>0</v>
      </c>
      <c r="CP68" s="286">
        <f t="shared" si="53"/>
        <v>0</v>
      </c>
      <c r="CR68" s="56"/>
    </row>
    <row r="69" spans="1:96" ht="18" customHeight="1">
      <c r="A69" s="165"/>
      <c r="B69" s="12"/>
      <c r="C69" s="50"/>
      <c r="D69" s="12"/>
      <c r="E69" s="12"/>
      <c r="F69" s="12"/>
      <c r="G69" s="12"/>
      <c r="H69" s="91"/>
      <c r="I69" s="75"/>
      <c r="J69" s="75"/>
      <c r="K69" s="92"/>
      <c r="L69" s="75"/>
      <c r="M69" s="93"/>
      <c r="N69" s="578">
        <f>IF(入力画面!E37=1,"未就学児",0)</f>
        <v>0</v>
      </c>
      <c r="O69" s="42">
        <f>IF(H70=0,0,$D$5)</f>
        <v>0</v>
      </c>
      <c r="P69" s="463">
        <f>IF(O70=0,0,"軽減額")</f>
        <v>0</v>
      </c>
      <c r="Q69" s="12"/>
      <c r="R69" s="95"/>
      <c r="S69" s="49"/>
      <c r="T69" s="96" t="s">
        <v>31</v>
      </c>
      <c r="U69" s="105">
        <f>ROUNDDOWN(U68,-2)</f>
        <v>0</v>
      </c>
      <c r="V69" s="88" t="s">
        <v>6</v>
      </c>
      <c r="W69" s="30" t="s">
        <v>43</v>
      </c>
      <c r="X69" s="29">
        <f t="shared" si="47"/>
        <v>0</v>
      </c>
      <c r="Y69" s="30" t="s">
        <v>42</v>
      </c>
      <c r="Z69" s="31">
        <f>IF($AH$13&gt;0,0,BB69)</f>
        <v>0</v>
      </c>
      <c r="AB69" s="4"/>
      <c r="AC69" s="489"/>
      <c r="AD69" s="4"/>
      <c r="AE69" s="497" t="str">
        <f>IF($AH$13&gt;0,"－",IF($AG$2&gt;0,"限度超過",IF(U70=Z70,"OK","ｱﾝﾏｯﾁ")))</f>
        <v>OK</v>
      </c>
      <c r="AF69" s="496"/>
      <c r="AG69" s="4"/>
      <c r="AI69" s="174"/>
      <c r="AJ69" s="174"/>
      <c r="AK69" s="174"/>
      <c r="AL69" s="174"/>
      <c r="AM69" s="174"/>
      <c r="AN69" s="174"/>
      <c r="AO69" s="325" t="s">
        <v>43</v>
      </c>
      <c r="AP69" s="323">
        <f>ROUNDDOWN(AR70/10,-2)</f>
        <v>0</v>
      </c>
      <c r="AQ69" s="324" t="s">
        <v>42</v>
      </c>
      <c r="AR69" s="355">
        <f>ROUNDDOWN(AR70/10,-2)</f>
        <v>0</v>
      </c>
      <c r="AS69" s="174"/>
      <c r="AT69" s="313" t="s">
        <v>43</v>
      </c>
      <c r="AU69" s="374">
        <f t="shared" si="48"/>
        <v>0</v>
      </c>
      <c r="AV69" s="311" t="s">
        <v>42</v>
      </c>
      <c r="AW69" s="375">
        <f>IF($AG$2&gt;0,"限度超過",AR69-BB158-BB335)</f>
        <v>0</v>
      </c>
      <c r="AX69" s="376"/>
      <c r="AY69" s="406" t="s">
        <v>43</v>
      </c>
      <c r="AZ69" s="310">
        <f t="shared" si="49"/>
        <v>0</v>
      </c>
      <c r="BA69" s="311" t="s">
        <v>42</v>
      </c>
      <c r="BB69" s="405">
        <f>AW69</f>
        <v>0</v>
      </c>
      <c r="BC69" s="376"/>
      <c r="BD69" s="448" t="s">
        <v>43</v>
      </c>
      <c r="BE69" s="81">
        <f t="shared" si="50"/>
        <v>0</v>
      </c>
      <c r="BF69" s="82" t="s">
        <v>42</v>
      </c>
      <c r="BG69" s="29">
        <f>BG59</f>
        <v>0</v>
      </c>
      <c r="BH69" s="12"/>
      <c r="BI69" s="30" t="s">
        <v>43</v>
      </c>
      <c r="BJ69" s="29">
        <f t="shared" si="51"/>
        <v>0</v>
      </c>
      <c r="BK69" s="30" t="s">
        <v>42</v>
      </c>
      <c r="BL69" s="29">
        <f>IF($A$87=$L$87,"限度超過",IF(BG69=0,0,BG69/$S$5))</f>
        <v>0</v>
      </c>
      <c r="BM69" s="12"/>
      <c r="BN69" s="30" t="s">
        <v>43</v>
      </c>
      <c r="BO69" s="29">
        <f t="shared" si="52"/>
        <v>0</v>
      </c>
      <c r="BP69" s="30" t="s">
        <v>42</v>
      </c>
      <c r="BQ69" s="457">
        <f>IF($A$87=$L$87,"限度超過",IF($S$5&lt;=5,0,BL69))</f>
        <v>0</v>
      </c>
      <c r="BR69" s="12"/>
      <c r="BS69" s="12"/>
      <c r="BT69" s="12"/>
      <c r="BU69" s="12"/>
      <c r="BV69" s="12"/>
      <c r="BW69" s="12"/>
      <c r="BX69" s="32" t="s">
        <v>25</v>
      </c>
      <c r="BY69" s="45">
        <f>K71</f>
        <v>0</v>
      </c>
      <c r="BZ69" s="45">
        <f t="shared" si="55"/>
        <v>0</v>
      </c>
      <c r="CA69" s="45">
        <f t="shared" si="55"/>
        <v>0</v>
      </c>
      <c r="CB69" s="45">
        <f t="shared" si="55"/>
        <v>0</v>
      </c>
      <c r="CC69" s="576">
        <f>CB69</f>
        <v>0</v>
      </c>
      <c r="CD69" s="4"/>
      <c r="CE69" s="4"/>
      <c r="CF69" s="4"/>
      <c r="CG69" s="4"/>
      <c r="CH69" s="4"/>
      <c r="CI69" s="13"/>
      <c r="CK69" s="1456"/>
      <c r="CL69" s="281" t="s">
        <v>188</v>
      </c>
      <c r="CM69" s="286">
        <f t="shared" si="54"/>
        <v>0</v>
      </c>
      <c r="CN69" s="289"/>
      <c r="CO69" s="286">
        <f>IF($CN$77=0,0,IF($CN$77&gt;=7,1,IF($CN$77&lt;=-7,-1,0)))</f>
        <v>0</v>
      </c>
      <c r="CP69" s="286">
        <f t="shared" si="53"/>
        <v>0</v>
      </c>
      <c r="CR69" s="56"/>
    </row>
    <row r="70" spans="1:96" ht="18" customHeight="1">
      <c r="A70" s="1378" t="s">
        <v>10</v>
      </c>
      <c r="B70" s="12"/>
      <c r="C70" s="12"/>
      <c r="D70" s="1379" t="s">
        <v>7</v>
      </c>
      <c r="E70" s="1389">
        <f>IF(H70&gt;0,$CE$8,0)</f>
        <v>0</v>
      </c>
      <c r="F70" s="97"/>
      <c r="G70" s="1010" t="s">
        <v>59</v>
      </c>
      <c r="H70" s="1390">
        <f>IF(B65=0,0,SUBTOTAL(3,B65))</f>
        <v>0</v>
      </c>
      <c r="I70" s="1385" t="s">
        <v>22</v>
      </c>
      <c r="J70" s="1010" t="s">
        <v>59</v>
      </c>
      <c r="K70" s="51">
        <f>IF(H70&gt;0,K67,0)</f>
        <v>0</v>
      </c>
      <c r="L70" s="52" t="s">
        <v>5</v>
      </c>
      <c r="M70" s="1527" t="s">
        <v>122</v>
      </c>
      <c r="N70" s="1548">
        <f>IF(O70=0,0,"―")</f>
        <v>0</v>
      </c>
      <c r="O70" s="1525">
        <f>IF(H70=0,0,IF(BY72=0,IF($D$5=7,BZ71,IF($D$5=5,CA71,IF($D$5=2,CB71,CC71))),IF($D$5=7,BZ71+BZ72,IF($D$5=5,CA71+CA72,IF($D$5=2,CB71+CB72,CC71+CC72)))))</f>
        <v>0</v>
      </c>
      <c r="P70" s="1526"/>
      <c r="Q70" s="1392" t="s">
        <v>130</v>
      </c>
      <c r="R70" s="1391">
        <f>IF(H70&gt;0,IF(K67=0,0,ROUNDDOWN(((E70*H70)*K70/K71)-O70,0)),0)</f>
        <v>0</v>
      </c>
      <c r="S70" s="1520" t="s">
        <v>6</v>
      </c>
      <c r="T70" s="1537" t="s">
        <v>32</v>
      </c>
      <c r="U70" s="1522">
        <f>IF($L$87=$A$87,"限度超過!",U68)</f>
        <v>0</v>
      </c>
      <c r="V70" s="1512" t="s">
        <v>6</v>
      </c>
      <c r="W70" s="30" t="s">
        <v>37</v>
      </c>
      <c r="X70" s="29">
        <f t="shared" si="47"/>
        <v>0</v>
      </c>
      <c r="Y70" s="1313" t="s">
        <v>44</v>
      </c>
      <c r="Z70" s="1420">
        <f>IF($AH$13&gt;0,0,BB70)</f>
        <v>0</v>
      </c>
      <c r="AB70" s="4"/>
      <c r="AC70" s="489"/>
      <c r="AD70" s="4"/>
      <c r="AE70" s="497" t="str">
        <f>IF($AG$2&gt;0,"限度超過",IF(X66+X67+X68+X69+X70+X71+Z66+Z67+Z68+Z69=Z70,"OK","エラー"))</f>
        <v>OK</v>
      </c>
      <c r="AF70" s="1521">
        <f>IF(H70&gt;0,IF(K67=0,0,ROUNDDOWN((E70*H70)-O70,0)),0)</f>
        <v>0</v>
      </c>
      <c r="AG70" s="4"/>
      <c r="AI70" s="174"/>
      <c r="AJ70" s="174"/>
      <c r="AK70" s="174"/>
      <c r="AL70" s="174"/>
      <c r="AM70" s="174"/>
      <c r="AN70" s="174"/>
      <c r="AO70" s="325" t="s">
        <v>37</v>
      </c>
      <c r="AP70" s="323">
        <f>ROUNDDOWN(AR70/10,-2)</f>
        <v>0</v>
      </c>
      <c r="AQ70" s="326" t="s">
        <v>44</v>
      </c>
      <c r="AR70" s="327">
        <f>IF($AG$2&gt;0,0,IF($AH$13&gt;0,0,U70+U159+U247+U336))</f>
        <v>0</v>
      </c>
      <c r="AS70" s="174"/>
      <c r="AT70" s="313" t="s">
        <v>37</v>
      </c>
      <c r="AU70" s="374">
        <f t="shared" si="48"/>
        <v>0</v>
      </c>
      <c r="AV70" s="314" t="s">
        <v>44</v>
      </c>
      <c r="AW70" s="312">
        <f>IF($AG$2&gt;0,"限度超過",AU66+AU67+AU68+AU69+AU70+AU71+AW66+AW67+AW68+AW69)</f>
        <v>0</v>
      </c>
      <c r="AX70" s="376"/>
      <c r="AY70" s="406" t="s">
        <v>37</v>
      </c>
      <c r="AZ70" s="310">
        <f t="shared" si="49"/>
        <v>0</v>
      </c>
      <c r="BA70" s="314" t="s">
        <v>44</v>
      </c>
      <c r="BB70" s="405">
        <f>AW70</f>
        <v>0</v>
      </c>
      <c r="BC70" s="376"/>
      <c r="BD70" s="448" t="s">
        <v>37</v>
      </c>
      <c r="BE70" s="81">
        <f t="shared" si="50"/>
        <v>0</v>
      </c>
      <c r="BF70" s="440" t="s">
        <v>44</v>
      </c>
      <c r="BG70" s="29">
        <f>IF($A$87=$L$87,"限度超過",BE66+BE67+BE68+BE69+BE70+BE71+BG66+BG67+BG68+BG69)</f>
        <v>0</v>
      </c>
      <c r="BH70" s="12"/>
      <c r="BI70" s="30" t="s">
        <v>37</v>
      </c>
      <c r="BJ70" s="29">
        <f t="shared" si="51"/>
        <v>0</v>
      </c>
      <c r="BK70" s="98" t="s">
        <v>44</v>
      </c>
      <c r="BL70" s="29">
        <f>IF($A$87=$L$87,"限度超過",BJ66+BJ67+BJ68+BJ69+BJ70+BJ71+BL66+BL67+BL68+BL69)</f>
        <v>0</v>
      </c>
      <c r="BM70" s="12"/>
      <c r="BN70" s="30" t="s">
        <v>37</v>
      </c>
      <c r="BO70" s="29">
        <f t="shared" si="52"/>
        <v>0</v>
      </c>
      <c r="BP70" s="98" t="s">
        <v>44</v>
      </c>
      <c r="BQ70" s="457">
        <f>IF($A$87=$L$87,"限度超過",BO66+BO67+BO68+BO69+BO70+BO71+BQ66+BQ67+BQ68+BQ69)</f>
        <v>0</v>
      </c>
      <c r="BR70" s="12"/>
      <c r="BS70" s="12"/>
      <c r="BT70" s="12"/>
      <c r="BU70" s="12"/>
      <c r="BV70" s="12"/>
      <c r="BW70" s="12"/>
      <c r="BX70" s="32" t="s">
        <v>26</v>
      </c>
      <c r="BY70" s="26">
        <f>H70</f>
        <v>0</v>
      </c>
      <c r="BZ70" s="99">
        <f t="shared" si="55"/>
        <v>0</v>
      </c>
      <c r="CA70" s="99">
        <f t="shared" si="55"/>
        <v>0</v>
      </c>
      <c r="CB70" s="99">
        <f t="shared" si="55"/>
        <v>0</v>
      </c>
      <c r="CC70" s="576">
        <f>CB70</f>
        <v>0</v>
      </c>
      <c r="CD70" s="4"/>
      <c r="CE70" s="4"/>
      <c r="CF70" s="4"/>
      <c r="CG70" s="4"/>
      <c r="CH70" s="4"/>
      <c r="CI70" s="13"/>
      <c r="CK70" s="278"/>
      <c r="CL70" s="281" t="s">
        <v>189</v>
      </c>
      <c r="CM70" s="286">
        <f t="shared" si="54"/>
        <v>0</v>
      </c>
      <c r="CN70" s="289"/>
      <c r="CO70" s="286">
        <f>IF($CN$77=0,0,IF($CN$77&gt;=6,1,IF($CN$77&lt;=-6,-1,0)))</f>
        <v>0</v>
      </c>
      <c r="CP70" s="286">
        <f t="shared" si="53"/>
        <v>0</v>
      </c>
      <c r="CR70" s="56"/>
    </row>
    <row r="71" spans="1:96" ht="18" customHeight="1">
      <c r="A71" s="1378"/>
      <c r="B71" s="12"/>
      <c r="C71" s="12"/>
      <c r="D71" s="1379"/>
      <c r="E71" s="1389"/>
      <c r="F71" s="12"/>
      <c r="G71" s="1010"/>
      <c r="H71" s="1390"/>
      <c r="I71" s="1385"/>
      <c r="J71" s="1010"/>
      <c r="K71" s="180">
        <f>IF(H70&gt;0,K68,0)</f>
        <v>0</v>
      </c>
      <c r="L71" s="12" t="s">
        <v>5</v>
      </c>
      <c r="M71" s="1527"/>
      <c r="N71" s="1548"/>
      <c r="O71" s="1526"/>
      <c r="P71" s="1526"/>
      <c r="Q71" s="1392"/>
      <c r="R71" s="1391"/>
      <c r="S71" s="1520"/>
      <c r="T71" s="1537"/>
      <c r="U71" s="1522"/>
      <c r="V71" s="1512"/>
      <c r="W71" s="30" t="s">
        <v>38</v>
      </c>
      <c r="X71" s="29">
        <f t="shared" si="47"/>
        <v>0</v>
      </c>
      <c r="Y71" s="1422"/>
      <c r="Z71" s="1421"/>
      <c r="AB71" s="4"/>
      <c r="AC71" s="489"/>
      <c r="AD71" s="4"/>
      <c r="AE71" s="74"/>
      <c r="AF71" s="1416"/>
      <c r="AG71" s="4"/>
      <c r="AH71" s="4"/>
      <c r="AI71" s="174"/>
      <c r="AJ71" s="174"/>
      <c r="AK71" s="174"/>
      <c r="AL71" s="174"/>
      <c r="AM71" s="174"/>
      <c r="AN71" s="174"/>
      <c r="AO71" s="325" t="s">
        <v>38</v>
      </c>
      <c r="AP71" s="323">
        <f>ROUNDDOWN(AR70/10,-2)</f>
        <v>0</v>
      </c>
      <c r="AQ71" s="324"/>
      <c r="AR71" s="328"/>
      <c r="AS71" s="174"/>
      <c r="AT71" s="313" t="s">
        <v>38</v>
      </c>
      <c r="AU71" s="374">
        <f t="shared" si="48"/>
        <v>0</v>
      </c>
      <c r="AV71" s="311" t="s">
        <v>75</v>
      </c>
      <c r="AW71" s="329">
        <f>IF($AG$2&gt;0,"限度超過",U70)</f>
        <v>0</v>
      </c>
      <c r="AX71" s="376"/>
      <c r="AY71" s="406" t="s">
        <v>38</v>
      </c>
      <c r="AZ71" s="310">
        <f t="shared" si="49"/>
        <v>0</v>
      </c>
      <c r="BA71" s="311"/>
      <c r="BB71" s="407"/>
      <c r="BC71" s="376"/>
      <c r="BD71" s="448" t="s">
        <v>38</v>
      </c>
      <c r="BE71" s="81">
        <f t="shared" si="50"/>
        <v>0</v>
      </c>
      <c r="BF71" s="82"/>
      <c r="BG71" s="100"/>
      <c r="BH71" s="12"/>
      <c r="BI71" s="30" t="s">
        <v>38</v>
      </c>
      <c r="BJ71" s="29">
        <f t="shared" si="51"/>
        <v>0</v>
      </c>
      <c r="BK71" s="30"/>
      <c r="BL71" s="100"/>
      <c r="BM71" s="12"/>
      <c r="BN71" s="30" t="s">
        <v>38</v>
      </c>
      <c r="BO71" s="29">
        <f t="shared" si="52"/>
        <v>0</v>
      </c>
      <c r="BP71" s="30"/>
      <c r="BQ71" s="458"/>
      <c r="BR71" s="12"/>
      <c r="BS71" s="12"/>
      <c r="BT71" s="12"/>
      <c r="BU71" s="12"/>
      <c r="BV71" s="12"/>
      <c r="BW71" s="12"/>
      <c r="BX71" s="67" t="s">
        <v>27</v>
      </c>
      <c r="BY71" s="45">
        <f>IF(BY70&gt;0,ROUNDDOWN(BY67*BY70*BY68/BY69,0),0)</f>
        <v>0</v>
      </c>
      <c r="BZ71" s="45">
        <f>IF(BZ70&gt;0,ROUNDDOWN(BZ67*BZ70*BZ68/BZ69,0),0)</f>
        <v>0</v>
      </c>
      <c r="CA71" s="45">
        <f>IF(CA70&gt;0,ROUNDDOWN(CA67*CA70*CA68/CA69,0),0)</f>
        <v>0</v>
      </c>
      <c r="CB71" s="45">
        <f>IF(CB70&gt;0,ROUNDDOWN(CB67*CB70*CB68/CB69,0),0)</f>
        <v>0</v>
      </c>
      <c r="CC71" s="576">
        <v>0</v>
      </c>
      <c r="CD71" s="4"/>
      <c r="CE71" s="4"/>
      <c r="CF71" s="4"/>
      <c r="CG71" s="4"/>
      <c r="CH71" s="4"/>
      <c r="CI71" s="13"/>
      <c r="CK71" s="278"/>
      <c r="CL71" s="281" t="s">
        <v>190</v>
      </c>
      <c r="CM71" s="286">
        <f t="shared" si="54"/>
        <v>0</v>
      </c>
      <c r="CN71" s="289"/>
      <c r="CO71" s="286">
        <f>IF($CN$77=0,0,IF($CN$77&gt;=5,1,IF($CN$77&lt;=-5,-1,0)))</f>
        <v>0</v>
      </c>
      <c r="CP71" s="286">
        <f t="shared" si="53"/>
        <v>0</v>
      </c>
      <c r="CR71" s="56"/>
    </row>
    <row r="72" spans="1:96" ht="18" customHeight="1">
      <c r="A72" s="200"/>
      <c r="B72" s="75" t="s">
        <v>118</v>
      </c>
      <c r="C72" s="12"/>
      <c r="D72" s="160"/>
      <c r="E72" s="161"/>
      <c r="F72" s="12"/>
      <c r="G72" s="50"/>
      <c r="H72" s="162"/>
      <c r="I72" s="159"/>
      <c r="J72" s="50"/>
      <c r="K72" s="180"/>
      <c r="L72" s="12"/>
      <c r="M72" s="86"/>
      <c r="N72" s="86"/>
      <c r="O72" s="181"/>
      <c r="P72" s="181"/>
      <c r="Q72" s="156"/>
      <c r="R72" s="157"/>
      <c r="S72" s="49"/>
      <c r="T72" s="50"/>
      <c r="U72" s="182"/>
      <c r="V72" s="50"/>
      <c r="W72" s="4"/>
      <c r="X72" s="26"/>
      <c r="Y72" s="170"/>
      <c r="Z72" s="185"/>
      <c r="AA72" s="5"/>
      <c r="AB72" s="159"/>
      <c r="AC72" s="224"/>
      <c r="AD72" s="159"/>
      <c r="AE72" s="159"/>
      <c r="AF72" s="234"/>
      <c r="AG72" s="159"/>
      <c r="AH72" s="225"/>
      <c r="AI72" s="199"/>
      <c r="AJ72" s="199"/>
      <c r="AK72" s="199"/>
      <c r="AL72" s="199"/>
      <c r="AM72" s="199"/>
      <c r="AN72" s="174"/>
      <c r="AO72" s="483"/>
      <c r="AP72" s="483"/>
      <c r="AQ72" s="484"/>
      <c r="AR72" s="484"/>
      <c r="AS72" s="199"/>
      <c r="AT72" s="378"/>
      <c r="AU72" s="469">
        <f>IF($AG$2&gt;0,"限度超過",0)</f>
        <v>0</v>
      </c>
      <c r="AV72" s="377"/>
      <c r="AW72" s="379" t="str">
        <f>IF(AW70=AW71,"OK","エラー")</f>
        <v>OK</v>
      </c>
      <c r="AX72" s="376"/>
      <c r="AY72" s="408"/>
      <c r="AZ72" s="317"/>
      <c r="BA72" s="316"/>
      <c r="BB72" s="409"/>
      <c r="BC72" s="376"/>
      <c r="BD72" s="449"/>
      <c r="BE72" s="26"/>
      <c r="BF72" s="4" t="s">
        <v>257</v>
      </c>
      <c r="BH72" s="12"/>
      <c r="BJ72" s="26"/>
      <c r="BM72" s="12"/>
      <c r="BO72" s="26"/>
      <c r="BQ72" s="459"/>
      <c r="BR72" s="12"/>
      <c r="BS72" s="12"/>
      <c r="BT72" s="12"/>
      <c r="BU72" s="12"/>
      <c r="BV72" s="12"/>
      <c r="BW72" s="12"/>
      <c r="BX72" s="32" t="s">
        <v>340</v>
      </c>
      <c r="BY72" s="576">
        <f>IF(入力画面!E37=1,1,0)</f>
        <v>0</v>
      </c>
      <c r="BZ72" s="576">
        <f>IF($BY$72=1,ROUNDDOWN(CF12*BZ68/BZ69,0),0)</f>
        <v>0</v>
      </c>
      <c r="CA72" s="576">
        <f>IF($BY$72=1,ROUNDDOWN(CG12*CA68/CA69,0),0)</f>
        <v>0</v>
      </c>
      <c r="CB72" s="576">
        <f>IF($BY$72=1,ROUNDDOWN(CH12*CB68/CB69,0),0)</f>
        <v>0</v>
      </c>
      <c r="CC72" s="576">
        <f>IF($BY$72=1,ROUNDDOWN(CE12*CC68/CC69,0),0)</f>
        <v>0</v>
      </c>
      <c r="CD72" s="4"/>
      <c r="CE72" s="4"/>
      <c r="CF72" s="4"/>
      <c r="CG72" s="4"/>
      <c r="CH72" s="4"/>
      <c r="CI72" s="13"/>
      <c r="CK72" s="278"/>
      <c r="CL72" s="281" t="s">
        <v>191</v>
      </c>
      <c r="CM72" s="286">
        <f t="shared" si="54"/>
        <v>0</v>
      </c>
      <c r="CN72" s="289"/>
      <c r="CO72" s="286">
        <f>IF($CN$77=0,0,IF($CN$77&gt;=4,1,IF($CN$77&lt;=-4,-1,0)))</f>
        <v>0</v>
      </c>
      <c r="CP72" s="286">
        <f t="shared" si="53"/>
        <v>0</v>
      </c>
      <c r="CR72" s="56"/>
    </row>
    <row r="73" spans="1:96" ht="18" customHeight="1">
      <c r="A73" s="58" t="s">
        <v>1</v>
      </c>
      <c r="B73" s="52"/>
      <c r="C73" s="187">
        <f>IF(H70&gt;0,$X$13,0)</f>
        <v>0</v>
      </c>
      <c r="D73" s="201" t="s">
        <v>6</v>
      </c>
      <c r="E73" s="60" t="s">
        <v>131</v>
      </c>
      <c r="F73" s="1377">
        <f>K67</f>
        <v>0</v>
      </c>
      <c r="G73" s="1377"/>
      <c r="H73" s="214" t="s">
        <v>5</v>
      </c>
      <c r="I73" s="1388" t="s">
        <v>14</v>
      </c>
      <c r="J73" s="1388"/>
      <c r="K73" s="1377">
        <f>C73*F73</f>
        <v>0</v>
      </c>
      <c r="L73" s="1377"/>
      <c r="M73" s="202" t="s">
        <v>6</v>
      </c>
      <c r="N73" s="202"/>
      <c r="O73" s="203"/>
      <c r="P73" s="203"/>
      <c r="Q73" s="63"/>
      <c r="R73" s="204"/>
      <c r="S73" s="59"/>
      <c r="T73" s="27"/>
      <c r="U73" s="205"/>
      <c r="V73" s="27"/>
      <c r="W73" s="186"/>
      <c r="X73" s="187"/>
      <c r="Y73" s="206"/>
      <c r="Z73" s="163"/>
      <c r="AB73" s="4"/>
      <c r="AC73" s="489"/>
      <c r="AD73" s="4"/>
      <c r="AE73" s="74"/>
      <c r="AF73" s="235"/>
      <c r="AG73" s="4"/>
      <c r="AH73" s="4"/>
      <c r="AI73" s="174"/>
      <c r="AJ73" s="174"/>
      <c r="AK73" s="174"/>
      <c r="AL73" s="174"/>
      <c r="AM73" s="174"/>
      <c r="AN73" s="174"/>
      <c r="AO73" s="1528" t="s">
        <v>253</v>
      </c>
      <c r="AP73" s="1528"/>
      <c r="AQ73" s="484"/>
      <c r="AR73" s="484"/>
      <c r="AS73" s="174"/>
      <c r="AT73" s="1475" t="s">
        <v>246</v>
      </c>
      <c r="AU73" s="1475"/>
      <c r="AV73" s="377"/>
      <c r="AW73" s="377"/>
      <c r="AX73" s="376"/>
      <c r="AY73" s="1495" t="s">
        <v>246</v>
      </c>
      <c r="AZ73" s="1475"/>
      <c r="BA73" s="316"/>
      <c r="BB73" s="409"/>
      <c r="BC73" s="376"/>
      <c r="BD73" s="449"/>
      <c r="BE73" s="26"/>
      <c r="BF73" s="4" t="s">
        <v>258</v>
      </c>
      <c r="BH73" s="12"/>
      <c r="BJ73" s="26"/>
      <c r="BM73" s="12"/>
      <c r="BO73" s="26"/>
      <c r="BQ73" s="459"/>
      <c r="BR73" s="12"/>
      <c r="BS73" s="12"/>
      <c r="BT73" s="12"/>
      <c r="BU73" s="12"/>
      <c r="BV73" s="12"/>
      <c r="BW73" s="12"/>
      <c r="BX73" s="4"/>
      <c r="BY73" s="26"/>
      <c r="BZ73" s="26"/>
      <c r="CA73" s="26"/>
      <c r="CB73" s="26"/>
      <c r="CC73" s="4"/>
      <c r="CD73" s="4"/>
      <c r="CE73" s="4"/>
      <c r="CF73" s="4"/>
      <c r="CG73" s="4"/>
      <c r="CH73" s="4"/>
      <c r="CI73" s="13"/>
      <c r="CK73" s="278"/>
      <c r="CL73" s="281" t="s">
        <v>192</v>
      </c>
      <c r="CM73" s="286">
        <f t="shared" si="54"/>
        <v>0</v>
      </c>
      <c r="CN73" s="289"/>
      <c r="CO73" s="286">
        <f>IF($CN$77=0,0,IF($CN$77&gt;=3,1,IF($CN$77&lt;=-3,-1,0)))</f>
        <v>0</v>
      </c>
      <c r="CP73" s="286">
        <f t="shared" si="53"/>
        <v>0</v>
      </c>
      <c r="CR73" s="56"/>
    </row>
    <row r="74" spans="1:96" ht="18" customHeight="1">
      <c r="D74" s="101"/>
      <c r="E74" s="70"/>
      <c r="G74" s="9"/>
      <c r="H74" s="102"/>
      <c r="I74" s="5"/>
      <c r="J74" s="9"/>
      <c r="K74" s="18"/>
      <c r="M74" s="103"/>
      <c r="P74" s="103"/>
      <c r="Q74" s="70"/>
      <c r="R74" s="104"/>
      <c r="S74" s="68"/>
      <c r="T74" s="68"/>
      <c r="U74" s="68"/>
      <c r="V74" s="18"/>
      <c r="AA74" s="16"/>
      <c r="AB74" s="16"/>
      <c r="AC74" s="490"/>
      <c r="AD74" s="16"/>
      <c r="AE74" s="225"/>
      <c r="AF74" s="231"/>
      <c r="AG74" s="16"/>
      <c r="AH74" s="16"/>
      <c r="AI74" s="172"/>
      <c r="AJ74" s="172"/>
      <c r="AK74" s="172"/>
      <c r="AL74" s="172"/>
      <c r="AM74" s="172"/>
      <c r="AN74" s="174"/>
      <c r="AO74" s="1546" t="s">
        <v>212</v>
      </c>
      <c r="AP74" s="1546"/>
      <c r="AQ74" s="1473" t="s">
        <v>211</v>
      </c>
      <c r="AR74" s="1473"/>
      <c r="AS74" s="172"/>
      <c r="AT74" s="1474" t="s">
        <v>430</v>
      </c>
      <c r="AU74" s="1474"/>
      <c r="AV74" s="1474"/>
      <c r="AW74" s="1474"/>
      <c r="AX74" s="376"/>
      <c r="AY74" s="403" t="s">
        <v>254</v>
      </c>
      <c r="AZ74" s="1498" t="s">
        <v>255</v>
      </c>
      <c r="BA74" s="1498"/>
      <c r="BB74" s="1499"/>
      <c r="BC74" s="376"/>
      <c r="BD74" s="1426" t="s">
        <v>256</v>
      </c>
      <c r="BE74" s="1427"/>
      <c r="BF74" s="1427"/>
      <c r="BG74" s="1427"/>
      <c r="BH74" s="12"/>
      <c r="BI74" s="437" t="s">
        <v>259</v>
      </c>
      <c r="BJ74" s="1438" t="s">
        <v>260</v>
      </c>
      <c r="BK74" s="1438"/>
      <c r="BL74" s="1438"/>
      <c r="BM74" s="12"/>
      <c r="BO74" s="143" t="s">
        <v>126</v>
      </c>
      <c r="BP74" s="12" t="s">
        <v>88</v>
      </c>
      <c r="BQ74" s="446"/>
      <c r="BR74" s="12"/>
      <c r="BS74" s="12"/>
      <c r="BT74" s="12"/>
      <c r="BU74" s="12"/>
      <c r="BV74" s="12"/>
      <c r="BW74" s="12"/>
      <c r="BX74" s="4"/>
      <c r="BY74" s="4"/>
      <c r="BZ74" s="4"/>
      <c r="CA74" s="4"/>
      <c r="CB74" s="4"/>
      <c r="CC74" s="4"/>
      <c r="CD74" s="4"/>
      <c r="CE74" s="4"/>
      <c r="CF74" s="4"/>
      <c r="CG74" s="4"/>
      <c r="CH74" s="4"/>
      <c r="CI74" s="13"/>
      <c r="CK74" s="278"/>
      <c r="CL74" s="281" t="s">
        <v>193</v>
      </c>
      <c r="CM74" s="286">
        <f t="shared" si="54"/>
        <v>0</v>
      </c>
      <c r="CN74" s="289"/>
      <c r="CO74" s="286">
        <f>IF($CN$77=0,0,IF($CN$77&gt;=2,1,IF($CN$77&lt;=-2,-1,0)))</f>
        <v>0</v>
      </c>
      <c r="CP74" s="286">
        <f t="shared" si="53"/>
        <v>0</v>
      </c>
      <c r="CR74" s="56"/>
    </row>
    <row r="75" spans="1:96" ht="18" customHeight="1">
      <c r="A75" s="194" t="s">
        <v>49</v>
      </c>
      <c r="B75" s="1396">
        <f>入力画面!C42</f>
        <v>0</v>
      </c>
      <c r="C75" s="1396"/>
      <c r="D75" s="1396"/>
      <c r="E75" s="196" t="s">
        <v>11</v>
      </c>
      <c r="F75" s="1398" t="s">
        <v>57</v>
      </c>
      <c r="G75" s="1398"/>
      <c r="H75" s="1398"/>
      <c r="I75" s="1380">
        <f>IF(入力画面!I44&gt;0,1,0)</f>
        <v>0</v>
      </c>
      <c r="J75" s="1381"/>
      <c r="K75" s="1515">
        <f>IF(H80=0,0,IF($K$8=0, "加入月が未入力です!！",IF($L$87=$A$87,"限度超過額に達しているため計算不可能!!",IF(U77-U76=U78,"エラー名前を入力されているが加入月未入力!！",IF(H80&gt;K77,"加入月未入力エラー!！",0)))))</f>
        <v>0</v>
      </c>
      <c r="L75" s="1516"/>
      <c r="M75" s="1516"/>
      <c r="N75" s="1516"/>
      <c r="O75" s="1516"/>
      <c r="P75" s="1516"/>
      <c r="Q75" s="1516"/>
      <c r="R75" s="1516"/>
      <c r="S75" s="1517"/>
      <c r="T75" s="195" t="s">
        <v>47</v>
      </c>
      <c r="U75" s="1417">
        <f>IF(U80&gt;0,"医療分",0)</f>
        <v>0</v>
      </c>
      <c r="V75" s="1418"/>
      <c r="W75" s="1419" t="s">
        <v>46</v>
      </c>
      <c r="X75" s="1278"/>
      <c r="Y75" s="1278"/>
      <c r="Z75" s="1279"/>
      <c r="AA75" s="26"/>
      <c r="AB75" s="26"/>
      <c r="AC75" s="491"/>
      <c r="AD75" s="26"/>
      <c r="AE75" s="486"/>
      <c r="AF75" s="236" t="s">
        <v>117</v>
      </c>
      <c r="AG75" s="26"/>
      <c r="AH75" s="274">
        <f>IF(K77=0,0,IF(K77&lt;12,1,0))</f>
        <v>0</v>
      </c>
      <c r="AI75" s="173"/>
      <c r="AJ75" s="173"/>
      <c r="AK75" s="173"/>
      <c r="AL75" s="173"/>
      <c r="AM75" s="173"/>
      <c r="AN75" s="366" t="s">
        <v>150</v>
      </c>
      <c r="AO75" s="1553" t="s">
        <v>46</v>
      </c>
      <c r="AP75" s="1554"/>
      <c r="AQ75" s="1478">
        <f>IF(R77+R80=0,0,IF(K78&gt;K77,"期割がアンマッチ使用禁止↓",0))</f>
        <v>0</v>
      </c>
      <c r="AR75" s="1479"/>
      <c r="AS75" s="173"/>
      <c r="AT75" s="1494" t="s">
        <v>46</v>
      </c>
      <c r="AU75" s="1477"/>
      <c r="AV75" s="1491"/>
      <c r="AW75" s="1493"/>
      <c r="AX75" s="376"/>
      <c r="AY75" s="1476" t="s">
        <v>46</v>
      </c>
      <c r="AZ75" s="1477"/>
      <c r="BA75" s="1491">
        <f>IF($R$17+$R80=0,0,IF($K$18&gt;$K$17,"期割がアンマッチ使用禁止↓",0))</f>
        <v>0</v>
      </c>
      <c r="BB75" s="1492"/>
      <c r="BC75" s="376"/>
      <c r="BD75" s="1435" t="s">
        <v>46</v>
      </c>
      <c r="BE75" s="1434"/>
      <c r="BF75" s="1436" t="s">
        <v>87</v>
      </c>
      <c r="BG75" s="1437"/>
      <c r="BH75" s="12"/>
      <c r="BI75" s="1253" t="s">
        <v>46</v>
      </c>
      <c r="BJ75" s="1434"/>
      <c r="BK75" s="1431"/>
      <c r="BL75" s="1433"/>
      <c r="BM75" s="12"/>
      <c r="BN75" s="1253" t="s">
        <v>46</v>
      </c>
      <c r="BO75" s="1434"/>
      <c r="BP75" s="1431"/>
      <c r="BQ75" s="1432"/>
      <c r="BR75" s="12"/>
      <c r="BS75" s="12"/>
      <c r="BT75" s="12"/>
      <c r="BU75" s="106" t="s">
        <v>56</v>
      </c>
      <c r="BV75" s="32" t="s">
        <v>8</v>
      </c>
      <c r="BW75" s="12"/>
      <c r="BX75" s="4"/>
      <c r="BY75" s="4"/>
      <c r="BZ75" s="4"/>
      <c r="CA75" s="4"/>
      <c r="CB75" s="4"/>
      <c r="CC75" s="4"/>
      <c r="CD75" s="4"/>
      <c r="CE75" s="4"/>
      <c r="CF75" s="4"/>
      <c r="CG75" s="4"/>
      <c r="CH75" s="4"/>
      <c r="CI75" s="13"/>
      <c r="CK75" s="278"/>
      <c r="CL75" s="281" t="s">
        <v>194</v>
      </c>
      <c r="CM75" s="286">
        <f t="shared" si="54"/>
        <v>0</v>
      </c>
      <c r="CN75" s="290" t="s">
        <v>204</v>
      </c>
      <c r="CO75" s="286">
        <f>IF($CN$77=0,0,IF($CN$77&gt;=1,1,IF($CN$77&lt;=-1,-1,0)))</f>
        <v>0</v>
      </c>
      <c r="CP75" s="286">
        <f t="shared" si="53"/>
        <v>0</v>
      </c>
      <c r="CR75" s="56"/>
    </row>
    <row r="76" spans="1:96" ht="18" customHeight="1">
      <c r="A76" s="165"/>
      <c r="B76" s="12"/>
      <c r="C76" s="75" t="s">
        <v>33</v>
      </c>
      <c r="D76" s="12"/>
      <c r="E76" s="12"/>
      <c r="F76" s="1394" t="s">
        <v>433</v>
      </c>
      <c r="G76" s="1394"/>
      <c r="H76" s="1394"/>
      <c r="I76" s="1380">
        <f>IF(入力画面!I45&gt;0,1,0)</f>
        <v>0</v>
      </c>
      <c r="J76" s="1381"/>
      <c r="K76" s="76" t="s">
        <v>9</v>
      </c>
      <c r="L76" s="12"/>
      <c r="M76" s="1551"/>
      <c r="N76" s="1551"/>
      <c r="O76" s="1551"/>
      <c r="P76" s="1551"/>
      <c r="Q76" s="1551"/>
      <c r="R76" s="1551"/>
      <c r="S76" s="1552"/>
      <c r="T76" s="72" t="s">
        <v>30</v>
      </c>
      <c r="U76" s="105">
        <f>R77+R80</f>
        <v>0</v>
      </c>
      <c r="V76" s="88" t="s">
        <v>6</v>
      </c>
      <c r="W76" s="80" t="s">
        <v>34</v>
      </c>
      <c r="X76" s="29">
        <f t="shared" ref="X76:X81" si="56">IF($AH$13&gt;0,0,AZ76)</f>
        <v>0</v>
      </c>
      <c r="Y76" s="80" t="s">
        <v>39</v>
      </c>
      <c r="Z76" s="31">
        <f>IF($AH$13&gt;0,0,BB76)</f>
        <v>0</v>
      </c>
      <c r="AA76" s="26"/>
      <c r="AB76" s="26"/>
      <c r="AC76" s="491"/>
      <c r="AD76" s="26"/>
      <c r="AE76" s="486"/>
      <c r="AF76" s="217">
        <f>AF77+AF80+AF83</f>
        <v>0</v>
      </c>
      <c r="AG76" s="26"/>
      <c r="AH76" s="26"/>
      <c r="AI76" s="173"/>
      <c r="AJ76" s="173"/>
      <c r="AK76" s="173"/>
      <c r="AL76" s="173"/>
      <c r="AM76" s="173"/>
      <c r="AN76" s="174"/>
      <c r="AO76" s="322" t="s">
        <v>34</v>
      </c>
      <c r="AP76" s="323">
        <f>AR80-(AP77+AP78+AP79+AP80+AP81+AR76+AR77+AR78+AR79)</f>
        <v>0</v>
      </c>
      <c r="AQ76" s="324" t="s">
        <v>39</v>
      </c>
      <c r="AR76" s="355">
        <f>ROUNDDOWN(AR80/10,-2)</f>
        <v>0</v>
      </c>
      <c r="AS76" s="173"/>
      <c r="AT76" s="313" t="s">
        <v>34</v>
      </c>
      <c r="AU76" s="374">
        <f t="shared" ref="AU76:AU81" si="57">IF($AG$2&gt;0,"限度超過",AP76-AZ165-AZ342)</f>
        <v>0</v>
      </c>
      <c r="AV76" s="311" t="s">
        <v>39</v>
      </c>
      <c r="AW76" s="375">
        <f>IF($AG$2&gt;0,"限度超過",AR76-BB165-BB342)</f>
        <v>0</v>
      </c>
      <c r="AX76" s="376"/>
      <c r="AY76" s="404" t="s">
        <v>34</v>
      </c>
      <c r="AZ76" s="310">
        <f t="shared" ref="AZ76:AZ81" si="58">AU76</f>
        <v>0</v>
      </c>
      <c r="BA76" s="311" t="s">
        <v>39</v>
      </c>
      <c r="BB76" s="405">
        <f>AW76</f>
        <v>0</v>
      </c>
      <c r="BC76" s="376"/>
      <c r="BD76" s="448" t="s">
        <v>34</v>
      </c>
      <c r="BE76" s="81">
        <f>BE66</f>
        <v>0</v>
      </c>
      <c r="BF76" s="82" t="s">
        <v>39</v>
      </c>
      <c r="BG76" s="29">
        <f>BG66</f>
        <v>0</v>
      </c>
      <c r="BH76" s="12"/>
      <c r="BI76" s="80" t="s">
        <v>34</v>
      </c>
      <c r="BJ76" s="29">
        <f t="shared" ref="BJ76:BJ81" si="59">IF($A$87=$L$87,"限度超過",IF(BE76=0,0,BE76/$S$5))</f>
        <v>0</v>
      </c>
      <c r="BK76" s="80" t="s">
        <v>39</v>
      </c>
      <c r="BL76" s="29">
        <f>IF($A$87=$L$87,"限度超過",IF(BG76=0,0,BG76/$S$5))</f>
        <v>0</v>
      </c>
      <c r="BM76" s="12"/>
      <c r="BN76" s="30" t="s">
        <v>34</v>
      </c>
      <c r="BO76" s="29">
        <f t="shared" ref="BO76:BO81" si="60">IF($A$87=$L$87,"限度超過",IF($S$5&lt;=6,0,BJ76))</f>
        <v>0</v>
      </c>
      <c r="BP76" s="80" t="s">
        <v>39</v>
      </c>
      <c r="BQ76" s="457">
        <f>IF($A$87=$L$87,"限度超過",IF($S$5&lt;=6,0,BL76))</f>
        <v>0</v>
      </c>
      <c r="BR76" s="12"/>
      <c r="BS76" s="12"/>
      <c r="BT76" s="12"/>
      <c r="BU76" s="32" t="s">
        <v>132</v>
      </c>
      <c r="BV76" s="45">
        <f>入力画面!I13</f>
        <v>12</v>
      </c>
      <c r="BW76" s="12"/>
      <c r="BX76" s="32"/>
      <c r="BY76" s="33" t="str">
        <f>BY66</f>
        <v>料率</v>
      </c>
      <c r="BZ76" s="33">
        <f>BZ66</f>
        <v>7</v>
      </c>
      <c r="CA76" s="33">
        <f>CA66</f>
        <v>5</v>
      </c>
      <c r="CB76" s="33">
        <f>CB66</f>
        <v>2</v>
      </c>
      <c r="CC76" s="576" t="s">
        <v>341</v>
      </c>
      <c r="CD76" s="4"/>
      <c r="CE76" s="4"/>
      <c r="CF76" s="4"/>
      <c r="CG76" s="4"/>
      <c r="CH76" s="4"/>
      <c r="CI76" s="13"/>
      <c r="CK76" s="278"/>
      <c r="CL76" s="281"/>
      <c r="CM76" s="306"/>
      <c r="CN76" s="291" t="s">
        <v>208</v>
      </c>
      <c r="CO76" s="289"/>
      <c r="CP76" s="289"/>
      <c r="CR76" s="56"/>
    </row>
    <row r="77" spans="1:96" ht="18" customHeight="1">
      <c r="A77" s="1378" t="s">
        <v>0</v>
      </c>
      <c r="B77" s="1556" t="s">
        <v>129</v>
      </c>
      <c r="C77" s="1382">
        <f>入力画面!R44</f>
        <v>0</v>
      </c>
      <c r="D77" s="1010" t="s">
        <v>58</v>
      </c>
      <c r="E77" s="1389">
        <f>IF(H80&gt;0,$CE$11, 0)</f>
        <v>0</v>
      </c>
      <c r="F77" s="1395" t="s">
        <v>22</v>
      </c>
      <c r="G77" s="1010" t="s">
        <v>59</v>
      </c>
      <c r="H77" s="85">
        <f>IF(H80&gt;0,$CE$7,0)</f>
        <v>0</v>
      </c>
      <c r="I77" s="1385" t="s">
        <v>22</v>
      </c>
      <c r="J77" s="1010" t="s">
        <v>59</v>
      </c>
      <c r="K77" s="51">
        <f>入力画面!I43</f>
        <v>0</v>
      </c>
      <c r="L77" s="52" t="s">
        <v>5</v>
      </c>
      <c r="M77" s="1395"/>
      <c r="N77" s="1527"/>
      <c r="O77" s="86"/>
      <c r="P77" s="1392" t="s">
        <v>130</v>
      </c>
      <c r="Q77" s="1392"/>
      <c r="R77" s="1391">
        <f>ROUNDDOWN(IF(((C77-E77)*H77/H78)*K77/K78&lt;0,0,((C77-E77)*H77/H78)*K77/K78),0)</f>
        <v>0</v>
      </c>
      <c r="S77" s="1524" t="s">
        <v>6</v>
      </c>
      <c r="T77" s="72" t="s">
        <v>1</v>
      </c>
      <c r="U77" s="105">
        <f>IF(H80=0,0,K83)</f>
        <v>0</v>
      </c>
      <c r="V77" s="88" t="s">
        <v>6</v>
      </c>
      <c r="W77" s="30" t="s">
        <v>35</v>
      </c>
      <c r="X77" s="29">
        <f t="shared" si="56"/>
        <v>0</v>
      </c>
      <c r="Y77" s="30" t="s">
        <v>40</v>
      </c>
      <c r="Z77" s="31">
        <f>IF($AH$13&gt;0,0,BB77)</f>
        <v>0</v>
      </c>
      <c r="AA77" s="26"/>
      <c r="AB77" s="26"/>
      <c r="AC77" s="491"/>
      <c r="AD77" s="26"/>
      <c r="AE77" s="486"/>
      <c r="AF77" s="1416">
        <f>ROUNDDOWN(IF(((C77-E77)*H77/H78)&lt;0,0,((C77-E77)*H77/H78)),0)</f>
        <v>0</v>
      </c>
      <c r="AG77" s="26"/>
      <c r="AH77" s="26"/>
      <c r="AI77" s="173"/>
      <c r="AJ77" s="173"/>
      <c r="AK77" s="173"/>
      <c r="AL77" s="173"/>
      <c r="AM77" s="173"/>
      <c r="AN77" s="174"/>
      <c r="AO77" s="325" t="s">
        <v>35</v>
      </c>
      <c r="AP77" s="323">
        <f>ROUNDDOWN(AR80/10,-2)</f>
        <v>0</v>
      </c>
      <c r="AQ77" s="324" t="s">
        <v>40</v>
      </c>
      <c r="AR77" s="355">
        <f>ROUNDDOWN(AR80/10,-2)</f>
        <v>0</v>
      </c>
      <c r="AS77" s="173"/>
      <c r="AT77" s="313" t="s">
        <v>35</v>
      </c>
      <c r="AU77" s="374">
        <f t="shared" si="57"/>
        <v>0</v>
      </c>
      <c r="AV77" s="311" t="s">
        <v>40</v>
      </c>
      <c r="AW77" s="375">
        <f>IF($AG$2&gt;0,"限度超過",AR77-BB166-BB343)</f>
        <v>0</v>
      </c>
      <c r="AX77" s="376"/>
      <c r="AY77" s="406" t="s">
        <v>35</v>
      </c>
      <c r="AZ77" s="310">
        <f t="shared" si="58"/>
        <v>0</v>
      </c>
      <c r="BA77" s="311" t="s">
        <v>40</v>
      </c>
      <c r="BB77" s="405">
        <f>AW77</f>
        <v>0</v>
      </c>
      <c r="BC77" s="376"/>
      <c r="BD77" s="448" t="s">
        <v>35</v>
      </c>
      <c r="BE77" s="81">
        <f t="shared" ref="BE77:BE81" si="61">BE67</f>
        <v>0</v>
      </c>
      <c r="BF77" s="82" t="s">
        <v>40</v>
      </c>
      <c r="BG77" s="29">
        <f>BG67</f>
        <v>0</v>
      </c>
      <c r="BH77" s="12"/>
      <c r="BI77" s="30" t="s">
        <v>35</v>
      </c>
      <c r="BJ77" s="29">
        <f t="shared" si="59"/>
        <v>0</v>
      </c>
      <c r="BK77" s="30" t="s">
        <v>40</v>
      </c>
      <c r="BL77" s="29">
        <f>IF($A$87=$L$87,"限度超過",IF(BG77=0,0,BG77/$S$5))</f>
        <v>0</v>
      </c>
      <c r="BM77" s="12"/>
      <c r="BN77" s="30" t="s">
        <v>35</v>
      </c>
      <c r="BO77" s="29">
        <f t="shared" si="60"/>
        <v>0</v>
      </c>
      <c r="BP77" s="30" t="s">
        <v>40</v>
      </c>
      <c r="BQ77" s="457">
        <f>IF($A$87=$L$87,"限度超過",IF($S$5&lt;=6,0,BL77))</f>
        <v>0</v>
      </c>
      <c r="BR77" s="12"/>
      <c r="BS77" s="12"/>
      <c r="BT77" s="12"/>
      <c r="BU77" s="32" t="s">
        <v>133</v>
      </c>
      <c r="BV77" s="45">
        <f>K27</f>
        <v>0</v>
      </c>
      <c r="BW77" s="12"/>
      <c r="BX77" s="32" t="s">
        <v>17</v>
      </c>
      <c r="BY77" s="44">
        <v>0</v>
      </c>
      <c r="BZ77" s="45">
        <f>$CF$8</f>
        <v>18250</v>
      </c>
      <c r="CA77" s="45">
        <f>$CG$8</f>
        <v>13030</v>
      </c>
      <c r="CB77" s="45">
        <f>$CH$8</f>
        <v>5220</v>
      </c>
      <c r="CC77" s="576"/>
      <c r="CD77" s="4"/>
      <c r="CE77" s="4"/>
      <c r="CF77" s="4"/>
      <c r="CG77" s="4"/>
      <c r="CH77" s="4"/>
      <c r="CI77" s="13"/>
      <c r="CK77" s="278"/>
      <c r="CL77" s="281" t="s">
        <v>203</v>
      </c>
      <c r="CM77" s="286">
        <f>SUM(CM66:CM75)</f>
        <v>0</v>
      </c>
      <c r="CN77" s="286">
        <f>CM65-CM77</f>
        <v>0</v>
      </c>
      <c r="CO77" s="289"/>
      <c r="CP77" s="289"/>
      <c r="CR77" s="56"/>
    </row>
    <row r="78" spans="1:96" ht="18" customHeight="1">
      <c r="A78" s="1378"/>
      <c r="B78" s="1556"/>
      <c r="C78" s="1382"/>
      <c r="D78" s="1010"/>
      <c r="E78" s="1389"/>
      <c r="F78" s="1395"/>
      <c r="G78" s="1010"/>
      <c r="H78" s="39">
        <v>100</v>
      </c>
      <c r="I78" s="1385"/>
      <c r="J78" s="1010"/>
      <c r="K78" s="55">
        <v>12</v>
      </c>
      <c r="L78" s="12" t="s">
        <v>5</v>
      </c>
      <c r="M78" s="1395"/>
      <c r="N78" s="1527"/>
      <c r="O78" s="86"/>
      <c r="P78" s="1392"/>
      <c r="Q78" s="1392"/>
      <c r="R78" s="1391"/>
      <c r="S78" s="1524"/>
      <c r="T78" s="72" t="s">
        <v>29</v>
      </c>
      <c r="U78" s="105">
        <f>U76+U77</f>
        <v>0</v>
      </c>
      <c r="V78" s="88" t="s">
        <v>6</v>
      </c>
      <c r="W78" s="30" t="s">
        <v>36</v>
      </c>
      <c r="X78" s="29">
        <f t="shared" si="56"/>
        <v>0</v>
      </c>
      <c r="Y78" s="30" t="s">
        <v>41</v>
      </c>
      <c r="Z78" s="31">
        <f>IF($AH$13&gt;0,0,BB78)</f>
        <v>0</v>
      </c>
      <c r="AA78" s="26"/>
      <c r="AB78" s="26"/>
      <c r="AC78" s="491"/>
      <c r="AD78" s="26"/>
      <c r="AE78" s="486"/>
      <c r="AF78" s="1416"/>
      <c r="AG78" s="26"/>
      <c r="AH78" s="26"/>
      <c r="AI78" s="173"/>
      <c r="AJ78" s="173"/>
      <c r="AK78" s="173"/>
      <c r="AL78" s="173"/>
      <c r="AM78" s="173"/>
      <c r="AN78" s="174"/>
      <c r="AO78" s="325" t="s">
        <v>36</v>
      </c>
      <c r="AP78" s="323">
        <f>ROUNDDOWN(AR80/10,-2)</f>
        <v>0</v>
      </c>
      <c r="AQ78" s="324" t="s">
        <v>41</v>
      </c>
      <c r="AR78" s="355">
        <f>ROUNDDOWN(AR80/10,-2)</f>
        <v>0</v>
      </c>
      <c r="AS78" s="173"/>
      <c r="AT78" s="313" t="s">
        <v>36</v>
      </c>
      <c r="AU78" s="374">
        <f t="shared" si="57"/>
        <v>0</v>
      </c>
      <c r="AV78" s="311" t="s">
        <v>41</v>
      </c>
      <c r="AW78" s="375">
        <f>IF($AG$2&gt;0,"限度超過",AR78-BB167-BB344)</f>
        <v>0</v>
      </c>
      <c r="AX78" s="376"/>
      <c r="AY78" s="406" t="s">
        <v>36</v>
      </c>
      <c r="AZ78" s="310">
        <f t="shared" si="58"/>
        <v>0</v>
      </c>
      <c r="BA78" s="311" t="s">
        <v>41</v>
      </c>
      <c r="BB78" s="405">
        <f>AW78</f>
        <v>0</v>
      </c>
      <c r="BC78" s="376"/>
      <c r="BD78" s="448" t="s">
        <v>36</v>
      </c>
      <c r="BE78" s="81">
        <f t="shared" si="61"/>
        <v>0</v>
      </c>
      <c r="BF78" s="82" t="s">
        <v>41</v>
      </c>
      <c r="BG78" s="29">
        <f>BG68</f>
        <v>0</v>
      </c>
      <c r="BH78" s="12"/>
      <c r="BI78" s="30" t="s">
        <v>36</v>
      </c>
      <c r="BJ78" s="29">
        <f t="shared" si="59"/>
        <v>0</v>
      </c>
      <c r="BK78" s="30" t="s">
        <v>41</v>
      </c>
      <c r="BL78" s="29">
        <f>IF($A$87=$L$87,"限度超過",IF(BG78=0,0,BG78/$S$5))</f>
        <v>0</v>
      </c>
      <c r="BM78" s="12"/>
      <c r="BN78" s="30" t="s">
        <v>36</v>
      </c>
      <c r="BO78" s="29">
        <f t="shared" si="60"/>
        <v>0</v>
      </c>
      <c r="BP78" s="30" t="s">
        <v>41</v>
      </c>
      <c r="BQ78" s="457">
        <f>IF($A$87=$L$87,"限度超過",IF($S$5&lt;=6,0,BL78))</f>
        <v>0</v>
      </c>
      <c r="BR78" s="12"/>
      <c r="BS78" s="12"/>
      <c r="BT78" s="12"/>
      <c r="BU78" s="32" t="s">
        <v>134</v>
      </c>
      <c r="BV78" s="45">
        <f>K37</f>
        <v>0</v>
      </c>
      <c r="BW78" s="12"/>
      <c r="BX78" s="32" t="s">
        <v>8</v>
      </c>
      <c r="BY78" s="45">
        <f>K80</f>
        <v>0</v>
      </c>
      <c r="BZ78" s="45">
        <f t="shared" ref="BZ78:CB80" si="62">BY78</f>
        <v>0</v>
      </c>
      <c r="CA78" s="45">
        <f t="shared" si="62"/>
        <v>0</v>
      </c>
      <c r="CB78" s="45">
        <f t="shared" si="62"/>
        <v>0</v>
      </c>
      <c r="CC78" s="576">
        <f>CB78</f>
        <v>0</v>
      </c>
      <c r="CD78" s="4"/>
      <c r="CE78" s="4"/>
      <c r="CF78" s="4"/>
      <c r="CG78" s="4"/>
      <c r="CH78" s="4"/>
      <c r="CI78" s="13"/>
      <c r="CK78" s="278"/>
      <c r="CL78" s="284"/>
      <c r="CM78" s="305" t="s">
        <v>209</v>
      </c>
      <c r="CN78" s="289"/>
      <c r="CO78" s="289"/>
      <c r="CP78" s="289"/>
      <c r="CR78" s="56"/>
    </row>
    <row r="79" spans="1:96" ht="18" customHeight="1">
      <c r="A79" s="165"/>
      <c r="B79" s="12"/>
      <c r="C79" s="50"/>
      <c r="D79" s="12"/>
      <c r="E79" s="12"/>
      <c r="F79" s="12"/>
      <c r="G79" s="12"/>
      <c r="H79" s="91"/>
      <c r="I79" s="75"/>
      <c r="J79" s="75"/>
      <c r="K79" s="92"/>
      <c r="L79" s="75"/>
      <c r="M79" s="93"/>
      <c r="N79" s="578">
        <f>IF(入力画面!E42=1,"未就学児",0)</f>
        <v>0</v>
      </c>
      <c r="O79" s="42">
        <f>IF(H80=0,0,$D$5)</f>
        <v>0</v>
      </c>
      <c r="P79" s="463">
        <f>IF(O80=0,0,"軽減額")</f>
        <v>0</v>
      </c>
      <c r="Q79" s="12"/>
      <c r="R79" s="95"/>
      <c r="S79" s="49"/>
      <c r="T79" s="96" t="s">
        <v>31</v>
      </c>
      <c r="U79" s="105">
        <f>ROUNDDOWN(U78,-2)</f>
        <v>0</v>
      </c>
      <c r="V79" s="88" t="s">
        <v>6</v>
      </c>
      <c r="W79" s="30" t="s">
        <v>43</v>
      </c>
      <c r="X79" s="29">
        <f t="shared" si="56"/>
        <v>0</v>
      </c>
      <c r="Y79" s="30" t="s">
        <v>42</v>
      </c>
      <c r="Z79" s="31">
        <f>IF($AH$13&gt;0,0,BB79)</f>
        <v>0</v>
      </c>
      <c r="AA79" s="26"/>
      <c r="AB79" s="26"/>
      <c r="AC79" s="491"/>
      <c r="AD79" s="26"/>
      <c r="AE79" s="497" t="str">
        <f>IF($AH$13&gt;0,"－",IF($AG$2&gt;0,"限度超過",IF(U80=Z80,"OK","ｱﾝﾏｯﾁ")))</f>
        <v>OK</v>
      </c>
      <c r="AF79" s="496"/>
      <c r="AG79" s="26"/>
      <c r="AI79" s="173"/>
      <c r="AJ79" s="173"/>
      <c r="AK79" s="173"/>
      <c r="AL79" s="173"/>
      <c r="AM79" s="173"/>
      <c r="AN79" s="174"/>
      <c r="AO79" s="325" t="s">
        <v>43</v>
      </c>
      <c r="AP79" s="323">
        <f>ROUNDDOWN(AR80/10,-2)</f>
        <v>0</v>
      </c>
      <c r="AQ79" s="324" t="s">
        <v>42</v>
      </c>
      <c r="AR79" s="355">
        <f>ROUNDDOWN(AR80/10,-2)</f>
        <v>0</v>
      </c>
      <c r="AS79" s="173"/>
      <c r="AT79" s="313" t="s">
        <v>43</v>
      </c>
      <c r="AU79" s="374">
        <f t="shared" si="57"/>
        <v>0</v>
      </c>
      <c r="AV79" s="311" t="s">
        <v>42</v>
      </c>
      <c r="AW79" s="375">
        <f>IF($AG$2&gt;0,"限度超過",AR79-BB168-BB345)</f>
        <v>0</v>
      </c>
      <c r="AX79" s="376"/>
      <c r="AY79" s="406" t="s">
        <v>43</v>
      </c>
      <c r="AZ79" s="310">
        <f t="shared" si="58"/>
        <v>0</v>
      </c>
      <c r="BA79" s="311" t="s">
        <v>42</v>
      </c>
      <c r="BB79" s="405">
        <f>AW79</f>
        <v>0</v>
      </c>
      <c r="BC79" s="376"/>
      <c r="BD79" s="448" t="s">
        <v>43</v>
      </c>
      <c r="BE79" s="81">
        <f t="shared" si="61"/>
        <v>0</v>
      </c>
      <c r="BF79" s="82" t="s">
        <v>42</v>
      </c>
      <c r="BG79" s="29">
        <f>BG69</f>
        <v>0</v>
      </c>
      <c r="BH79" s="12"/>
      <c r="BI79" s="30" t="s">
        <v>43</v>
      </c>
      <c r="BJ79" s="29">
        <f t="shared" si="59"/>
        <v>0</v>
      </c>
      <c r="BK79" s="30" t="s">
        <v>42</v>
      </c>
      <c r="BL79" s="29">
        <f>IF($A$87=$L$87,"限度超過",IF(BG79=0,0,BG79/$S$5))</f>
        <v>0</v>
      </c>
      <c r="BM79" s="12"/>
      <c r="BN79" s="30" t="s">
        <v>43</v>
      </c>
      <c r="BO79" s="29">
        <f t="shared" si="60"/>
        <v>0</v>
      </c>
      <c r="BP79" s="30" t="s">
        <v>42</v>
      </c>
      <c r="BQ79" s="457">
        <f>IF($A$87=$L$87,"限度超過",IF($S$5&lt;=6,0,BL79))</f>
        <v>0</v>
      </c>
      <c r="BR79" s="12"/>
      <c r="BS79" s="12"/>
      <c r="BT79" s="12"/>
      <c r="BU79" s="32" t="s">
        <v>135</v>
      </c>
      <c r="BV79" s="45">
        <f>K47</f>
        <v>0</v>
      </c>
      <c r="BW79" s="12"/>
      <c r="BX79" s="32" t="s">
        <v>25</v>
      </c>
      <c r="BY79" s="45">
        <f>K81</f>
        <v>0</v>
      </c>
      <c r="BZ79" s="45">
        <f t="shared" si="62"/>
        <v>0</v>
      </c>
      <c r="CA79" s="45">
        <f t="shared" si="62"/>
        <v>0</v>
      </c>
      <c r="CB79" s="45">
        <f t="shared" si="62"/>
        <v>0</v>
      </c>
      <c r="CC79" s="576">
        <f>CB79</f>
        <v>0</v>
      </c>
      <c r="CD79" s="4"/>
      <c r="CE79" s="4"/>
      <c r="CF79" s="4"/>
      <c r="CG79" s="4"/>
      <c r="CH79" s="4"/>
      <c r="CI79" s="13"/>
      <c r="CK79" s="279"/>
      <c r="CL79" s="277"/>
      <c r="CM79" s="300" t="s">
        <v>183</v>
      </c>
      <c r="CN79" s="296"/>
      <c r="CO79" s="296"/>
      <c r="CP79" s="296"/>
      <c r="CR79" s="56"/>
    </row>
    <row r="80" spans="1:96" ht="18" customHeight="1">
      <c r="A80" s="1378" t="s">
        <v>10</v>
      </c>
      <c r="B80" s="12"/>
      <c r="C80" s="12"/>
      <c r="D80" s="1379" t="s">
        <v>7</v>
      </c>
      <c r="E80" s="1389">
        <f>IF(H80&gt;0,$CE$8,0)</f>
        <v>0</v>
      </c>
      <c r="F80" s="97"/>
      <c r="G80" s="1010" t="s">
        <v>59</v>
      </c>
      <c r="H80" s="1390">
        <f>IF(B75=0,0,SUBTOTAL(3,B75))</f>
        <v>0</v>
      </c>
      <c r="I80" s="1385" t="s">
        <v>22</v>
      </c>
      <c r="J80" s="1010" t="s">
        <v>59</v>
      </c>
      <c r="K80" s="51">
        <f>IF(H80&gt;0,K77,0)</f>
        <v>0</v>
      </c>
      <c r="L80" s="52" t="s">
        <v>5</v>
      </c>
      <c r="M80" s="1527" t="s">
        <v>122</v>
      </c>
      <c r="N80" s="1548">
        <f>IF(O80=0,0,"―")</f>
        <v>0</v>
      </c>
      <c r="O80" s="1525">
        <f>IF(H80=0,0,IF(BY82=0,IF($D$5=7,BZ81,IF($D$5=5,CA81,IF($D$5=2,CB81,CC81))),IF($D$5=7,BZ81+BZ82,IF($D$5=5,CA81+CA82,IF($D$5=2,CB81+CB82,CC81+CC82)))))</f>
        <v>0</v>
      </c>
      <c r="P80" s="1526"/>
      <c r="Q80" s="1392" t="s">
        <v>130</v>
      </c>
      <c r="R80" s="1391">
        <f>IF(H80&gt;0,IF(K77=0,0,ROUNDDOWN(((E80*H80)*K80/K81)-O80,0)),0)</f>
        <v>0</v>
      </c>
      <c r="S80" s="1520" t="s">
        <v>6</v>
      </c>
      <c r="T80" s="1537" t="s">
        <v>32</v>
      </c>
      <c r="U80" s="1522">
        <f>IF($L$87=$A$87,"限度超過!",U78)</f>
        <v>0</v>
      </c>
      <c r="V80" s="1512" t="s">
        <v>6</v>
      </c>
      <c r="W80" s="30" t="s">
        <v>37</v>
      </c>
      <c r="X80" s="29">
        <f t="shared" si="56"/>
        <v>0</v>
      </c>
      <c r="Y80" s="1313" t="s">
        <v>44</v>
      </c>
      <c r="Z80" s="1420">
        <f>IF($AH$13&gt;0,0,BB80)</f>
        <v>0</v>
      </c>
      <c r="AA80" s="4"/>
      <c r="AB80" s="4"/>
      <c r="AC80" s="489"/>
      <c r="AD80" s="4"/>
      <c r="AE80" s="497" t="str">
        <f>IF($AG$2&gt;0,"限度超過",IF(X76+X77+X78+X79+X80+X81+Z76+Z77+Z78+Z79=Z80,"OK","エラー"))</f>
        <v>OK</v>
      </c>
      <c r="AF80" s="1521">
        <f>IF(H80&gt;0,IF(K77=0,0,ROUNDDOWN((E80*H80)-O80,0)),0)</f>
        <v>0</v>
      </c>
      <c r="AG80" s="4"/>
      <c r="AI80" s="174"/>
      <c r="AJ80" s="174"/>
      <c r="AK80" s="174"/>
      <c r="AL80" s="174"/>
      <c r="AM80" s="174"/>
      <c r="AN80" s="174"/>
      <c r="AO80" s="325" t="s">
        <v>37</v>
      </c>
      <c r="AP80" s="323">
        <f>ROUNDDOWN(AR80/10,-2)</f>
        <v>0</v>
      </c>
      <c r="AQ80" s="326" t="s">
        <v>44</v>
      </c>
      <c r="AR80" s="327">
        <f>IF($AG$2&gt;0,0,IF($AH$13&gt;0,0,U80+U169+U257+U346))</f>
        <v>0</v>
      </c>
      <c r="AS80" s="174"/>
      <c r="AT80" s="313" t="s">
        <v>37</v>
      </c>
      <c r="AU80" s="374">
        <f t="shared" si="57"/>
        <v>0</v>
      </c>
      <c r="AV80" s="314" t="s">
        <v>44</v>
      </c>
      <c r="AW80" s="312">
        <f>IF($AG$2&gt;0,"限度超過",AU76+AU77+AU78+AU79+AU80+AU81+AW76+AW77+AW78+AW79)</f>
        <v>0</v>
      </c>
      <c r="AX80" s="376"/>
      <c r="AY80" s="406" t="s">
        <v>37</v>
      </c>
      <c r="AZ80" s="310">
        <f t="shared" si="58"/>
        <v>0</v>
      </c>
      <c r="BA80" s="314" t="s">
        <v>44</v>
      </c>
      <c r="BB80" s="405">
        <f>AW80</f>
        <v>0</v>
      </c>
      <c r="BC80" s="376"/>
      <c r="BD80" s="448" t="s">
        <v>37</v>
      </c>
      <c r="BE80" s="81">
        <f t="shared" si="61"/>
        <v>0</v>
      </c>
      <c r="BF80" s="440" t="s">
        <v>44</v>
      </c>
      <c r="BG80" s="29">
        <f>IF($A$87=$L$87,"限度超過",BE76+BE77+BE78+BE79+BE80+BE81+BG76+BG77+BG78+BG79)</f>
        <v>0</v>
      </c>
      <c r="BH80" s="12"/>
      <c r="BI80" s="30" t="s">
        <v>37</v>
      </c>
      <c r="BJ80" s="29">
        <f t="shared" si="59"/>
        <v>0</v>
      </c>
      <c r="BK80" s="98" t="s">
        <v>44</v>
      </c>
      <c r="BL80" s="29">
        <f>IF($A$87=$L$87,"限度超過",BJ76+BJ77+BJ78+BJ79+BJ80+BJ81+BL76+BL77+BL78+BL79)</f>
        <v>0</v>
      </c>
      <c r="BM80" s="12"/>
      <c r="BN80" s="30" t="s">
        <v>37</v>
      </c>
      <c r="BO80" s="29">
        <f t="shared" si="60"/>
        <v>0</v>
      </c>
      <c r="BP80" s="98" t="s">
        <v>44</v>
      </c>
      <c r="BQ80" s="457">
        <f>IF($A$87=$L$87,"限度超過",BO76+BO77+BO78+BO79+BO80+BO81+BQ76+BQ77+BQ78+BQ79)</f>
        <v>0</v>
      </c>
      <c r="BR80" s="12"/>
      <c r="BS80" s="12"/>
      <c r="BT80" s="12"/>
      <c r="BU80" s="32" t="s">
        <v>136</v>
      </c>
      <c r="BV80" s="45">
        <f>K57</f>
        <v>0</v>
      </c>
      <c r="BW80" s="12"/>
      <c r="BX80" s="32" t="s">
        <v>26</v>
      </c>
      <c r="BY80" s="26">
        <f>H80</f>
        <v>0</v>
      </c>
      <c r="BZ80" s="99">
        <f t="shared" si="62"/>
        <v>0</v>
      </c>
      <c r="CA80" s="99">
        <f t="shared" si="62"/>
        <v>0</v>
      </c>
      <c r="CB80" s="99">
        <f t="shared" si="62"/>
        <v>0</v>
      </c>
      <c r="CC80" s="576">
        <f>CB80</f>
        <v>0</v>
      </c>
      <c r="CD80" s="4"/>
      <c r="CE80" s="4"/>
      <c r="CF80" s="4"/>
      <c r="CG80" s="4"/>
      <c r="CH80" s="4"/>
      <c r="CI80" s="13"/>
      <c r="CM80" s="292"/>
      <c r="CN80" s="298"/>
      <c r="CO80" s="298"/>
      <c r="CR80" s="56"/>
    </row>
    <row r="81" spans="1:96" ht="18" customHeight="1">
      <c r="A81" s="1378"/>
      <c r="B81" s="12"/>
      <c r="C81" s="12"/>
      <c r="D81" s="1379"/>
      <c r="E81" s="1389"/>
      <c r="F81" s="12"/>
      <c r="G81" s="1010"/>
      <c r="H81" s="1390"/>
      <c r="I81" s="1385"/>
      <c r="J81" s="1010"/>
      <c r="K81" s="180">
        <f>IF(H80&gt;0,K78,0)</f>
        <v>0</v>
      </c>
      <c r="L81" s="12" t="s">
        <v>5</v>
      </c>
      <c r="M81" s="1527"/>
      <c r="N81" s="1548"/>
      <c r="O81" s="1526"/>
      <c r="P81" s="1526"/>
      <c r="Q81" s="1392"/>
      <c r="R81" s="1391"/>
      <c r="S81" s="1520"/>
      <c r="T81" s="1537"/>
      <c r="U81" s="1522"/>
      <c r="V81" s="1512"/>
      <c r="W81" s="30" t="s">
        <v>38</v>
      </c>
      <c r="X81" s="29">
        <f t="shared" si="56"/>
        <v>0</v>
      </c>
      <c r="Y81" s="1422"/>
      <c r="Z81" s="1421"/>
      <c r="AA81" s="71"/>
      <c r="AB81" s="71"/>
      <c r="AC81" s="222"/>
      <c r="AD81" s="71"/>
      <c r="AE81" s="71"/>
      <c r="AF81" s="1416"/>
      <c r="AG81" s="71"/>
      <c r="AH81" s="71"/>
      <c r="AI81" s="170"/>
      <c r="AJ81" s="170"/>
      <c r="AK81" s="170"/>
      <c r="AL81" s="170"/>
      <c r="AM81" s="170"/>
      <c r="AN81" s="174"/>
      <c r="AO81" s="325" t="s">
        <v>38</v>
      </c>
      <c r="AP81" s="323">
        <f>ROUNDDOWN(AR80/10,-2)</f>
        <v>0</v>
      </c>
      <c r="AQ81" s="324"/>
      <c r="AR81" s="328"/>
      <c r="AS81" s="170"/>
      <c r="AT81" s="313" t="s">
        <v>38</v>
      </c>
      <c r="AU81" s="374">
        <f t="shared" si="57"/>
        <v>0</v>
      </c>
      <c r="AV81" s="311" t="s">
        <v>75</v>
      </c>
      <c r="AW81" s="329">
        <f>IF($AG$2&gt;0,"限度超過",U80)</f>
        <v>0</v>
      </c>
      <c r="AX81" s="376"/>
      <c r="AY81" s="410" t="s">
        <v>38</v>
      </c>
      <c r="AZ81" s="411">
        <f t="shared" si="58"/>
        <v>0</v>
      </c>
      <c r="BA81" s="412"/>
      <c r="BB81" s="413"/>
      <c r="BC81" s="376"/>
      <c r="BD81" s="448" t="s">
        <v>38</v>
      </c>
      <c r="BE81" s="81">
        <f t="shared" si="61"/>
        <v>0</v>
      </c>
      <c r="BF81" s="82"/>
      <c r="BG81" s="100"/>
      <c r="BH81" s="12"/>
      <c r="BI81" s="30" t="s">
        <v>38</v>
      </c>
      <c r="BJ81" s="29">
        <f t="shared" si="59"/>
        <v>0</v>
      </c>
      <c r="BK81" s="30"/>
      <c r="BL81" s="100"/>
      <c r="BM81" s="12"/>
      <c r="BN81" s="30" t="s">
        <v>38</v>
      </c>
      <c r="BO81" s="29">
        <f t="shared" si="60"/>
        <v>0</v>
      </c>
      <c r="BP81" s="30"/>
      <c r="BQ81" s="458"/>
      <c r="BR81" s="12"/>
      <c r="BS81" s="12"/>
      <c r="BT81" s="12"/>
      <c r="BU81" s="32" t="s">
        <v>137</v>
      </c>
      <c r="BV81" s="45">
        <f>K67</f>
        <v>0</v>
      </c>
      <c r="BW81" s="12"/>
      <c r="BX81" s="67" t="s">
        <v>27</v>
      </c>
      <c r="BY81" s="45">
        <f>IF(BY80&gt;0,ROUNDDOWN(BY77*BY80*BY78/BY79,0),0)</f>
        <v>0</v>
      </c>
      <c r="BZ81" s="45">
        <f>IF(BZ80&gt;0,ROUNDDOWN(BZ77*BZ80*BZ78/BZ79,0),0)</f>
        <v>0</v>
      </c>
      <c r="CA81" s="45">
        <f>IF(CA80&gt;0,ROUNDDOWN(CA77*CA80*CA78/CA79,0),0)</f>
        <v>0</v>
      </c>
      <c r="CB81" s="45">
        <f>IF(CB80&gt;0,ROUNDDOWN(CB77*CB80*CB78/CB79,0),0)</f>
        <v>0</v>
      </c>
      <c r="CC81" s="576">
        <v>0</v>
      </c>
      <c r="CD81" s="4"/>
      <c r="CE81" s="4"/>
      <c r="CF81" s="4"/>
      <c r="CG81" s="4"/>
      <c r="CH81" s="4"/>
      <c r="CI81" s="13"/>
      <c r="CM81" s="292"/>
      <c r="CN81" s="298"/>
      <c r="CO81" s="298"/>
      <c r="CR81" s="56"/>
    </row>
    <row r="82" spans="1:96" ht="18" customHeight="1">
      <c r="A82" s="200"/>
      <c r="B82" s="75" t="s">
        <v>118</v>
      </c>
      <c r="C82" s="12"/>
      <c r="D82" s="160"/>
      <c r="E82" s="161"/>
      <c r="F82" s="12"/>
      <c r="G82" s="50"/>
      <c r="H82" s="162"/>
      <c r="I82" s="159"/>
      <c r="J82" s="50"/>
      <c r="K82" s="180"/>
      <c r="L82" s="12"/>
      <c r="M82" s="86"/>
      <c r="N82" s="86"/>
      <c r="O82" s="181"/>
      <c r="P82" s="181"/>
      <c r="Q82" s="156"/>
      <c r="R82" s="157"/>
      <c r="S82" s="49"/>
      <c r="T82" s="50"/>
      <c r="U82" s="182"/>
      <c r="V82" s="50"/>
      <c r="W82" s="4"/>
      <c r="X82" s="26"/>
      <c r="Y82" s="170"/>
      <c r="Z82" s="185"/>
      <c r="AA82" s="73"/>
      <c r="AB82" s="73"/>
      <c r="AC82" s="223"/>
      <c r="AD82" s="73"/>
      <c r="AE82" s="73"/>
      <c r="AF82" s="234"/>
      <c r="AG82" s="73"/>
      <c r="AH82" s="189"/>
      <c r="AI82" s="175"/>
      <c r="AJ82" s="175"/>
      <c r="AK82" s="175"/>
      <c r="AL82" s="175"/>
      <c r="AM82" s="175"/>
      <c r="AN82" s="175"/>
      <c r="AO82" s="483"/>
      <c r="AP82" s="483"/>
      <c r="AQ82" s="484"/>
      <c r="AR82" s="484"/>
      <c r="AS82" s="175"/>
      <c r="AT82" s="378"/>
      <c r="AU82" s="469">
        <f>IF($AG$2&gt;0,"限度超過",0)</f>
        <v>0</v>
      </c>
      <c r="AV82" s="377"/>
      <c r="AW82" s="379" t="str">
        <f>IF(AW80=AW81,"OK","エラー")</f>
        <v>OK</v>
      </c>
      <c r="AX82" s="376"/>
      <c r="AY82" s="315"/>
      <c r="AZ82" s="315"/>
      <c r="BA82" s="316"/>
      <c r="BB82" s="316"/>
      <c r="BC82" s="376"/>
      <c r="BD82" s="449"/>
      <c r="BH82" s="12"/>
      <c r="BM82" s="12"/>
      <c r="BQ82" s="459"/>
      <c r="BR82" s="12"/>
      <c r="BS82" s="12"/>
      <c r="BT82" s="12"/>
      <c r="BU82" s="32" t="s">
        <v>138</v>
      </c>
      <c r="BV82" s="45">
        <f>K77</f>
        <v>0</v>
      </c>
      <c r="BW82" s="12"/>
      <c r="BX82" s="32" t="s">
        <v>340</v>
      </c>
      <c r="BY82" s="576">
        <f>IF(入力画面!E42=1,1,0)</f>
        <v>0</v>
      </c>
      <c r="BZ82" s="576">
        <f>IF($BY$82=1,ROUNDDOWN(CF12*BZ78/BZ79,0),0)</f>
        <v>0</v>
      </c>
      <c r="CA82" s="576">
        <f>IF($BY$82=1,ROUNDDOWN(CG12*CA78/CA79,0),0)</f>
        <v>0</v>
      </c>
      <c r="CB82" s="576">
        <f>IF($BY$82=1,ROUNDDOWN(CH12*CB78/CB79,0),0)</f>
        <v>0</v>
      </c>
      <c r="CC82" s="576">
        <f>IF($BY$82=1,ROUNDDOWN(CE12*CC78/CC79,0),0)</f>
        <v>0</v>
      </c>
      <c r="CD82" s="4"/>
      <c r="CE82" s="4"/>
      <c r="CF82" s="4"/>
      <c r="CG82" s="4"/>
      <c r="CH82" s="4"/>
      <c r="CI82" s="13"/>
      <c r="CM82" s="292"/>
      <c r="CN82" s="298"/>
      <c r="CO82" s="307"/>
      <c r="CR82" s="56"/>
    </row>
    <row r="83" spans="1:96" ht="18" customHeight="1" thickBot="1">
      <c r="A83" s="58" t="s">
        <v>1</v>
      </c>
      <c r="B83" s="52"/>
      <c r="C83" s="187">
        <f>IF(H80&gt;0,$X$13,0)</f>
        <v>0</v>
      </c>
      <c r="D83" s="201" t="s">
        <v>6</v>
      </c>
      <c r="E83" s="60" t="s">
        <v>131</v>
      </c>
      <c r="F83" s="1377">
        <f>K77</f>
        <v>0</v>
      </c>
      <c r="G83" s="1377"/>
      <c r="H83" s="214" t="s">
        <v>5</v>
      </c>
      <c r="I83" s="1388" t="s">
        <v>14</v>
      </c>
      <c r="J83" s="1388"/>
      <c r="K83" s="1377">
        <f>C83*F83</f>
        <v>0</v>
      </c>
      <c r="L83" s="1377"/>
      <c r="M83" s="202" t="s">
        <v>6</v>
      </c>
      <c r="N83" s="202"/>
      <c r="O83" s="203"/>
      <c r="P83" s="203"/>
      <c r="Q83" s="63"/>
      <c r="R83" s="204"/>
      <c r="S83" s="59"/>
      <c r="T83" s="27"/>
      <c r="U83" s="205"/>
      <c r="V83" s="27"/>
      <c r="W83" s="186"/>
      <c r="X83" s="187"/>
      <c r="Y83" s="206"/>
      <c r="Z83" s="163"/>
      <c r="AA83" s="26"/>
      <c r="AB83" s="26"/>
      <c r="AC83" s="491"/>
      <c r="AD83" s="26"/>
      <c r="AE83" s="486"/>
      <c r="AF83" s="235"/>
      <c r="AG83" s="26"/>
      <c r="AH83" s="26"/>
      <c r="AI83" s="173"/>
      <c r="AJ83" s="173"/>
      <c r="AK83" s="173"/>
      <c r="AL83" s="173"/>
      <c r="AM83" s="173"/>
      <c r="AN83" s="173"/>
      <c r="AO83" s="4"/>
      <c r="AP83" s="4"/>
      <c r="AQ83" s="191"/>
      <c r="AR83" s="191"/>
      <c r="AS83" s="173"/>
      <c r="AT83" s="173"/>
      <c r="AU83" s="173"/>
      <c r="AV83" s="173"/>
      <c r="AW83" s="173"/>
      <c r="AX83" s="12"/>
      <c r="BC83" s="12"/>
      <c r="BD83" s="451"/>
      <c r="BE83" s="452"/>
      <c r="BF83" s="452"/>
      <c r="BG83" s="452"/>
      <c r="BH83" s="453"/>
      <c r="BI83" s="452"/>
      <c r="BJ83" s="452"/>
      <c r="BK83" s="452"/>
      <c r="BL83" s="452"/>
      <c r="BM83" s="453"/>
      <c r="BN83" s="452"/>
      <c r="BO83" s="452"/>
      <c r="BP83" s="452"/>
      <c r="BQ83" s="461"/>
      <c r="BR83" s="12"/>
      <c r="BS83" s="12"/>
      <c r="BT83" s="12"/>
      <c r="BU83" s="168" t="s">
        <v>108</v>
      </c>
      <c r="BV83" s="211">
        <f>MAX(BV76:BV82)</f>
        <v>12</v>
      </c>
      <c r="BW83" s="12"/>
      <c r="BX83" s="4"/>
      <c r="BY83" s="4"/>
      <c r="BZ83" s="4"/>
      <c r="CA83" s="4"/>
      <c r="CB83" s="4"/>
      <c r="CC83" s="4"/>
      <c r="CD83" s="4"/>
      <c r="CE83" s="4"/>
      <c r="CF83" s="4"/>
      <c r="CG83" s="4"/>
      <c r="CH83" s="4"/>
      <c r="CI83" s="13"/>
      <c r="CM83" s="292"/>
      <c r="CN83" s="298"/>
      <c r="CO83" s="297"/>
      <c r="CR83" s="56"/>
    </row>
    <row r="84" spans="1:96" ht="7.5" customHeight="1" thickTop="1">
      <c r="A84" s="49"/>
      <c r="B84" s="12"/>
      <c r="C84" s="12"/>
      <c r="D84" s="160"/>
      <c r="E84" s="161"/>
      <c r="F84" s="12"/>
      <c r="G84" s="50"/>
      <c r="H84" s="162"/>
      <c r="I84" s="159"/>
      <c r="J84" s="50"/>
      <c r="K84" s="180"/>
      <c r="L84" s="12"/>
      <c r="M84" s="86"/>
      <c r="N84" s="86"/>
      <c r="O84" s="181"/>
      <c r="P84" s="181"/>
      <c r="Q84" s="156"/>
      <c r="R84" s="157"/>
      <c r="S84" s="49"/>
      <c r="T84" s="50"/>
      <c r="U84" s="188"/>
      <c r="V84" s="50"/>
      <c r="W84" s="4"/>
      <c r="X84" s="26"/>
      <c r="Y84" s="170"/>
      <c r="Z84" s="157"/>
      <c r="AA84" s="26"/>
      <c r="AB84" s="26"/>
      <c r="AC84" s="491"/>
      <c r="AD84" s="26"/>
      <c r="AE84" s="486"/>
      <c r="AF84" s="240"/>
      <c r="AG84" s="26"/>
      <c r="AH84" s="26"/>
      <c r="AI84" s="173"/>
      <c r="AJ84" s="173"/>
      <c r="AK84" s="173"/>
      <c r="AL84" s="173"/>
      <c r="AM84" s="173"/>
      <c r="AN84" s="173"/>
      <c r="AO84" s="173"/>
      <c r="AP84" s="173"/>
      <c r="AQ84" s="173"/>
      <c r="AR84" s="173"/>
      <c r="AS84" s="173"/>
      <c r="AT84" s="173"/>
      <c r="AU84" s="173"/>
      <c r="AV84" s="173"/>
      <c r="AW84" s="173"/>
      <c r="AX84" s="12"/>
      <c r="BC84" s="12"/>
      <c r="BH84" s="12"/>
      <c r="BM84" s="12"/>
      <c r="BR84" s="12"/>
      <c r="BS84" s="12"/>
      <c r="BT84" s="12"/>
      <c r="BU84" s="12"/>
      <c r="BV84" s="12"/>
      <c r="BW84" s="12"/>
      <c r="BX84" s="4"/>
      <c r="BY84" s="4"/>
      <c r="BZ84" s="4"/>
      <c r="CA84" s="4"/>
      <c r="CB84" s="4"/>
      <c r="CC84" s="4"/>
      <c r="CD84" s="4"/>
      <c r="CE84" s="4"/>
      <c r="CF84" s="4"/>
      <c r="CG84" s="4"/>
      <c r="CH84" s="4"/>
      <c r="CI84" s="13"/>
      <c r="CM84" s="292"/>
      <c r="CN84" s="292"/>
      <c r="CO84" s="292"/>
      <c r="CR84" s="56"/>
    </row>
    <row r="85" spans="1:96" ht="7.5" customHeight="1">
      <c r="D85" s="101"/>
      <c r="E85" s="70"/>
      <c r="G85" s="9"/>
      <c r="H85" s="102"/>
      <c r="I85" s="107"/>
      <c r="J85" s="9"/>
      <c r="K85" s="108"/>
      <c r="Q85" s="70"/>
      <c r="R85" s="69"/>
      <c r="S85" s="68"/>
      <c r="T85" s="68"/>
      <c r="U85" s="68"/>
      <c r="AA85" s="26"/>
      <c r="AB85" s="26"/>
      <c r="AC85" s="491"/>
      <c r="AD85" s="26"/>
      <c r="AE85" s="486"/>
      <c r="AF85" s="26"/>
      <c r="AG85" s="26"/>
      <c r="AH85" s="26"/>
      <c r="AI85" s="173"/>
      <c r="AJ85" s="173"/>
      <c r="AK85" s="173"/>
      <c r="AL85" s="173"/>
      <c r="AM85" s="173"/>
      <c r="AN85" s="173"/>
      <c r="AO85" s="173"/>
      <c r="AP85" s="173"/>
      <c r="AQ85" s="173"/>
      <c r="AR85" s="173"/>
      <c r="AS85" s="173"/>
      <c r="AT85" s="173"/>
      <c r="AU85" s="173"/>
      <c r="AV85" s="173"/>
      <c r="AW85" s="173"/>
      <c r="AX85" s="12"/>
      <c r="BC85" s="12"/>
      <c r="BH85" s="12"/>
      <c r="BM85" s="12"/>
      <c r="BR85" s="12"/>
      <c r="BS85" s="12"/>
      <c r="BT85" s="12"/>
      <c r="BU85" s="12"/>
      <c r="BV85" s="12"/>
      <c r="BW85" s="12"/>
      <c r="BX85" s="4"/>
      <c r="BY85" s="4"/>
      <c r="BZ85" s="4"/>
      <c r="CA85" s="4"/>
      <c r="CB85" s="4"/>
      <c r="CC85" s="4"/>
      <c r="CD85" s="4"/>
      <c r="CE85" s="4"/>
      <c r="CF85" s="4"/>
      <c r="CG85" s="4"/>
      <c r="CH85" s="4"/>
      <c r="CI85" s="13"/>
      <c r="CR85" s="56"/>
    </row>
    <row r="86" spans="1:96" ht="7.5" customHeight="1" thickBot="1">
      <c r="D86" s="101"/>
      <c r="E86" s="70"/>
      <c r="G86" s="9"/>
      <c r="H86" s="102"/>
      <c r="I86" s="107"/>
      <c r="J86" s="9"/>
      <c r="K86" s="108"/>
      <c r="Q86" s="70"/>
      <c r="R86" s="69"/>
      <c r="S86" s="68"/>
      <c r="T86" s="68"/>
      <c r="U86" s="68"/>
      <c r="AA86" s="26"/>
      <c r="AB86" s="26"/>
      <c r="AC86" s="491"/>
      <c r="AD86" s="26"/>
      <c r="AE86" s="486"/>
      <c r="AF86" s="26"/>
      <c r="AG86" s="26"/>
      <c r="AH86" s="26"/>
      <c r="AI86" s="173"/>
      <c r="AJ86" s="173"/>
      <c r="AK86" s="173"/>
      <c r="AL86" s="173"/>
      <c r="AM86" s="173"/>
      <c r="AN86" s="173"/>
      <c r="AO86" s="173"/>
      <c r="AP86" s="173"/>
      <c r="AQ86" s="173"/>
      <c r="AR86" s="173"/>
      <c r="AS86" s="173"/>
      <c r="AT86" s="173"/>
      <c r="AU86" s="173"/>
      <c r="AV86" s="173"/>
      <c r="AW86" s="173"/>
      <c r="AX86" s="12"/>
      <c r="BC86" s="12"/>
      <c r="BH86" s="12"/>
      <c r="BM86" s="12"/>
      <c r="BR86" s="12"/>
      <c r="BS86" s="12"/>
      <c r="BT86" s="12"/>
      <c r="BU86" s="12"/>
      <c r="BV86" s="12"/>
      <c r="BW86" s="12"/>
      <c r="BX86" s="4"/>
      <c r="BY86" s="4"/>
      <c r="BZ86" s="4"/>
      <c r="CA86" s="4"/>
      <c r="CB86" s="4"/>
      <c r="CC86" s="4"/>
      <c r="CD86" s="4"/>
      <c r="CE86" s="4"/>
      <c r="CF86" s="4"/>
      <c r="CG86" s="4"/>
      <c r="CH86" s="4"/>
      <c r="CI86" s="13"/>
      <c r="CR86" s="56"/>
    </row>
    <row r="87" spans="1:96" ht="31.5" customHeight="1" thickTop="1" thickBot="1">
      <c r="A87" s="1383">
        <f>CE10</f>
        <v>670000</v>
      </c>
      <c r="B87" s="1383"/>
      <c r="C87" s="1383"/>
      <c r="D87" s="1383"/>
      <c r="F87" s="109"/>
      <c r="G87" s="109"/>
      <c r="H87" s="1583" t="s">
        <v>12</v>
      </c>
      <c r="I87" s="1584"/>
      <c r="J87" s="1584"/>
      <c r="K87" s="1584"/>
      <c r="L87" s="1547">
        <f>IF(ROUNDDOWN(R17+R20+K23+R27+R30+K33+R37+R40+K43+R47+R50+K53+R57+R60+K63+R67+R70+K73+R77+R80+K83,-2)&gt;CG27,CG27,ROUNDDOWN(R17+R20+K23+R27+R30+K33+R37+R40+K43+R47+R50+K53+R57+R60+K63+R67+R70+K73+R77+R80+K83,-2))</f>
        <v>15900</v>
      </c>
      <c r="M87" s="1547"/>
      <c r="N87" s="1547"/>
      <c r="O87" s="1547"/>
      <c r="P87" s="1547"/>
      <c r="Q87" s="1547"/>
      <c r="R87" s="1547"/>
      <c r="S87" s="110" t="s">
        <v>6</v>
      </c>
      <c r="T87" s="49"/>
      <c r="U87" s="111"/>
      <c r="AA87" s="26"/>
      <c r="AB87" s="26"/>
      <c r="AC87" s="491"/>
      <c r="AD87" s="26"/>
      <c r="AE87" s="486"/>
      <c r="AF87" s="26"/>
      <c r="AG87" s="26"/>
      <c r="AH87" s="26"/>
      <c r="AI87" s="173"/>
      <c r="AJ87" s="173"/>
      <c r="AK87" s="173"/>
      <c r="AL87" s="173"/>
      <c r="AM87" s="173"/>
      <c r="AN87" s="173"/>
      <c r="AO87" s="173"/>
      <c r="AP87" s="173"/>
      <c r="AQ87" s="173"/>
      <c r="AR87" s="173"/>
      <c r="AS87" s="173"/>
      <c r="AT87" s="173"/>
      <c r="AU87" s="173"/>
      <c r="AV87" s="173"/>
      <c r="AW87" s="173"/>
      <c r="AX87" s="12"/>
      <c r="AY87" s="12"/>
      <c r="AZ87" s="1385"/>
      <c r="BA87" s="1385"/>
      <c r="BB87" s="1385"/>
      <c r="BC87" s="12"/>
      <c r="BD87" s="12"/>
      <c r="BE87" s="1385"/>
      <c r="BF87" s="1385"/>
      <c r="BG87" s="1385"/>
      <c r="BH87" s="12"/>
      <c r="BI87" s="12"/>
      <c r="BJ87" s="1385"/>
      <c r="BK87" s="1385"/>
      <c r="BL87" s="1385"/>
      <c r="BM87" s="12"/>
      <c r="BN87" s="12"/>
      <c r="BO87" s="1385"/>
      <c r="BP87" s="1385"/>
      <c r="BQ87" s="1385"/>
      <c r="BR87" s="12"/>
      <c r="BS87" s="12"/>
      <c r="BT87" s="12"/>
      <c r="BU87" s="12"/>
      <c r="BV87" s="12"/>
      <c r="BW87" s="12"/>
      <c r="BX87" s="4"/>
      <c r="BY87" s="4"/>
      <c r="BZ87" s="4"/>
      <c r="CA87" s="4"/>
      <c r="CB87" s="4"/>
      <c r="CC87" s="4"/>
      <c r="CD87" s="4"/>
      <c r="CE87" s="4"/>
      <c r="CF87" s="4"/>
      <c r="CG87" s="4"/>
      <c r="CH87" s="4"/>
      <c r="CI87" s="13"/>
      <c r="CR87" s="56"/>
    </row>
    <row r="88" spans="1:96" ht="16.5" customHeight="1" thickTop="1">
      <c r="K88" s="1577"/>
      <c r="L88" s="1577"/>
      <c r="M88" s="1577"/>
      <c r="N88" s="1577"/>
      <c r="O88" s="1577"/>
      <c r="P88" s="1577"/>
      <c r="Q88" s="1577"/>
      <c r="R88" s="112" t="s">
        <v>13</v>
      </c>
      <c r="AA88" s="4"/>
      <c r="AB88" s="4"/>
      <c r="AC88" s="489"/>
      <c r="AD88" s="4"/>
      <c r="AE88" s="74"/>
      <c r="AF88" s="4"/>
      <c r="AG88" s="4"/>
      <c r="AH88" s="4"/>
      <c r="AI88" s="174"/>
      <c r="AJ88" s="174"/>
      <c r="AK88" s="174"/>
      <c r="AL88" s="174"/>
      <c r="AM88" s="174"/>
      <c r="AN88" s="174"/>
      <c r="AO88" s="174"/>
      <c r="AP88" s="174"/>
      <c r="AQ88" s="174"/>
      <c r="AR88" s="174"/>
      <c r="AS88" s="174"/>
      <c r="AT88" s="174"/>
      <c r="AU88" s="174"/>
      <c r="AV88" s="174"/>
      <c r="AW88" s="174"/>
      <c r="AX88" s="12"/>
      <c r="BC88" s="12"/>
      <c r="BH88" s="12"/>
      <c r="BM88" s="12"/>
      <c r="BR88" s="12"/>
      <c r="BS88" s="12"/>
      <c r="BT88" s="12"/>
      <c r="BU88" s="12"/>
      <c r="BV88" s="12"/>
      <c r="BW88" s="12"/>
      <c r="BX88" s="4"/>
      <c r="BY88" s="4"/>
      <c r="BZ88" s="4"/>
      <c r="CA88" s="4"/>
      <c r="CB88" s="4"/>
      <c r="CC88" s="4"/>
      <c r="CD88" s="4"/>
      <c r="CE88" s="4"/>
      <c r="CF88" s="4"/>
      <c r="CG88" s="4"/>
      <c r="CH88" s="4"/>
      <c r="CI88" s="13"/>
      <c r="CJ88" s="56"/>
      <c r="CK88" s="12"/>
      <c r="CL88" s="50"/>
      <c r="CM88" s="12"/>
      <c r="CN88" s="12"/>
      <c r="CO88" s="12"/>
      <c r="CP88" s="12"/>
      <c r="CQ88" s="12"/>
      <c r="CR88" s="56"/>
    </row>
    <row r="89" spans="1:96" ht="9" customHeight="1" thickBot="1">
      <c r="B89" s="113"/>
      <c r="C89" s="113"/>
      <c r="D89" s="113"/>
      <c r="K89" s="70"/>
      <c r="L89" s="70"/>
      <c r="M89" s="70"/>
      <c r="N89" s="114"/>
      <c r="O89" s="114"/>
      <c r="P89" s="70"/>
      <c r="Q89" s="70"/>
      <c r="R89" s="112"/>
      <c r="AB89" s="4"/>
      <c r="AC89" s="492"/>
      <c r="AD89" s="121"/>
      <c r="AE89" s="488"/>
      <c r="AF89" s="121"/>
      <c r="AG89" s="121"/>
      <c r="AH89" s="121"/>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226"/>
      <c r="BP89" s="226"/>
      <c r="BQ89" s="226"/>
      <c r="BR89" s="226"/>
      <c r="BS89" s="12"/>
      <c r="BT89" s="12"/>
      <c r="BU89" s="12"/>
      <c r="BV89" s="12"/>
      <c r="BW89" s="12"/>
      <c r="BX89" s="4"/>
      <c r="BY89" s="4"/>
      <c r="BZ89" s="4"/>
      <c r="CA89" s="4"/>
      <c r="CB89" s="4"/>
      <c r="CC89" s="4"/>
      <c r="CD89" s="4"/>
      <c r="CE89" s="4"/>
      <c r="CF89" s="4"/>
      <c r="CG89" s="4"/>
      <c r="CH89" s="4"/>
      <c r="CI89" s="13"/>
      <c r="CJ89" s="120"/>
      <c r="CK89" s="122"/>
      <c r="CL89" s="249"/>
      <c r="CM89" s="122"/>
      <c r="CN89" s="122"/>
      <c r="CO89" s="122"/>
      <c r="CP89" s="122"/>
      <c r="CQ89" s="122"/>
      <c r="CR89" s="56"/>
    </row>
    <row r="90" spans="1:96" ht="31.5" customHeight="1">
      <c r="A90" s="1562">
        <f>A1</f>
        <v>0</v>
      </c>
      <c r="B90" s="1562"/>
      <c r="C90" s="1562"/>
      <c r="D90" s="1562"/>
      <c r="E90" s="1562"/>
      <c r="F90" s="1562"/>
      <c r="G90" s="1562"/>
      <c r="H90" s="1562"/>
      <c r="I90" s="1562"/>
      <c r="J90" s="1562"/>
      <c r="K90" s="1562"/>
      <c r="L90" s="1562"/>
      <c r="M90" s="1562"/>
      <c r="N90" s="1562"/>
      <c r="O90" s="1562"/>
      <c r="P90" s="1562"/>
      <c r="Q90" s="1562"/>
      <c r="R90" s="1562"/>
      <c r="S90" s="1562"/>
      <c r="T90" s="1562"/>
      <c r="U90" s="1562"/>
      <c r="V90" s="1562"/>
      <c r="W90" s="1562"/>
      <c r="X90" s="1565" t="s">
        <v>15</v>
      </c>
      <c r="Y90" s="1565"/>
      <c r="Z90" s="1565"/>
      <c r="AA90" s="5"/>
      <c r="AB90" s="159"/>
      <c r="AC90" s="224"/>
      <c r="AD90" s="159"/>
      <c r="AE90" s="159"/>
      <c r="AF90" s="159"/>
      <c r="AG90" s="159"/>
      <c r="AH90" s="225"/>
      <c r="AI90" s="199"/>
      <c r="AJ90" s="199"/>
      <c r="AK90" s="199"/>
      <c r="AL90" s="199"/>
      <c r="AM90" s="199"/>
      <c r="AN90" s="199"/>
      <c r="AO90" s="199"/>
      <c r="AP90" s="199"/>
      <c r="AQ90" s="199"/>
      <c r="AR90" s="199"/>
      <c r="AS90" s="199"/>
      <c r="AT90" s="199"/>
      <c r="AU90" s="199"/>
      <c r="AV90" s="199"/>
      <c r="AW90" s="199"/>
      <c r="AX90" s="12"/>
      <c r="AY90" s="265"/>
      <c r="AZ90" s="265"/>
      <c r="BA90" s="265"/>
      <c r="BB90" s="265"/>
      <c r="BC90" s="12"/>
      <c r="BD90" s="265"/>
      <c r="BE90" s="265"/>
      <c r="BF90" s="265"/>
      <c r="BG90" s="265"/>
      <c r="BH90" s="12"/>
      <c r="BI90" s="265"/>
      <c r="BJ90" s="265"/>
      <c r="BK90" s="265"/>
      <c r="BL90" s="265"/>
      <c r="BM90" s="12"/>
      <c r="BN90" s="265"/>
      <c r="BO90" s="265"/>
      <c r="BP90" s="265"/>
      <c r="BQ90" s="265"/>
      <c r="BR90" s="255"/>
      <c r="BS90" s="255"/>
      <c r="BT90" s="255"/>
      <c r="BU90" s="255"/>
      <c r="BV90" s="255"/>
      <c r="BW90" s="6"/>
      <c r="BX90" s="7"/>
      <c r="BY90" s="7"/>
      <c r="BZ90" s="7"/>
      <c r="CA90" s="7"/>
      <c r="CB90" s="7"/>
      <c r="CC90" s="7"/>
      <c r="CD90" s="7"/>
      <c r="CE90" s="7"/>
      <c r="CF90" s="7"/>
      <c r="CG90" s="7"/>
      <c r="CH90" s="7"/>
      <c r="CI90" s="8"/>
    </row>
    <row r="91" spans="1:96" ht="31.5" customHeight="1">
      <c r="A91" s="1397" t="s">
        <v>48</v>
      </c>
      <c r="B91" s="1397"/>
      <c r="C91" s="1397"/>
      <c r="D91" s="1393">
        <f>D2</f>
        <v>0</v>
      </c>
      <c r="E91" s="1393"/>
      <c r="F91" s="1393"/>
      <c r="G91" s="3" t="s">
        <v>22</v>
      </c>
      <c r="U91" s="11"/>
      <c r="V91" s="11"/>
      <c r="AB91" s="4"/>
      <c r="AC91" s="489"/>
      <c r="AD91" s="4"/>
      <c r="AE91" s="74"/>
      <c r="AF91" s="4"/>
      <c r="AG91" s="267"/>
      <c r="AH91" s="4"/>
      <c r="AI91" s="174"/>
      <c r="AJ91" s="174"/>
      <c r="AK91" s="174"/>
      <c r="AL91" s="174"/>
      <c r="AM91" s="174"/>
      <c r="AN91" s="174"/>
      <c r="AO91" s="174"/>
      <c r="AP91" s="174"/>
      <c r="AQ91" s="174"/>
      <c r="AR91" s="174"/>
      <c r="AS91" s="174"/>
      <c r="AT91" s="174"/>
      <c r="AU91" s="174"/>
      <c r="AV91" s="174"/>
      <c r="AW91" s="174"/>
      <c r="AX91" s="256"/>
      <c r="AY91" s="256"/>
      <c r="AZ91" s="256"/>
      <c r="BA91" s="256"/>
      <c r="BB91" s="256"/>
      <c r="BC91" s="256"/>
      <c r="BD91" s="256"/>
      <c r="BE91" s="256"/>
      <c r="BF91" s="256"/>
      <c r="BG91" s="256"/>
      <c r="BH91" s="256"/>
      <c r="BI91" s="256"/>
      <c r="BJ91" s="256"/>
      <c r="BK91" s="256"/>
      <c r="BL91" s="256"/>
      <c r="BM91" s="256"/>
      <c r="BN91" s="256"/>
      <c r="BO91" s="256"/>
      <c r="BP91" s="256"/>
      <c r="BQ91" s="256"/>
      <c r="BR91" s="256"/>
      <c r="BS91" s="256"/>
      <c r="BT91" s="256"/>
      <c r="BU91" s="256"/>
      <c r="BV91" s="256"/>
      <c r="BW91" s="12"/>
      <c r="BX91" s="4"/>
      <c r="BY91" s="4"/>
      <c r="BZ91" s="4"/>
      <c r="CA91" s="4"/>
      <c r="CB91" s="4"/>
      <c r="CC91" s="4"/>
      <c r="CD91" s="4"/>
      <c r="CE91" s="4"/>
      <c r="CF91" s="4"/>
      <c r="CG91" s="4"/>
      <c r="CH91" s="4"/>
      <c r="CI91" s="13"/>
    </row>
    <row r="92" spans="1:96" ht="16.5" customHeight="1">
      <c r="A92" s="1513" t="s">
        <v>160</v>
      </c>
      <c r="B92" s="1513"/>
      <c r="C92" s="1513"/>
      <c r="D92" s="14"/>
      <c r="E92" s="14"/>
      <c r="F92" s="14"/>
      <c r="G92" s="14"/>
      <c r="H92" s="14"/>
      <c r="I92" s="14"/>
      <c r="J92" s="14"/>
      <c r="K92" s="14"/>
      <c r="L92" s="14"/>
      <c r="M92" s="14"/>
      <c r="N92" s="14"/>
      <c r="O92" s="14"/>
      <c r="P92" s="14"/>
      <c r="Q92" s="14"/>
      <c r="R92" s="14"/>
      <c r="S92" s="14"/>
      <c r="T92" s="14"/>
      <c r="U92" s="14"/>
      <c r="V92" s="15"/>
      <c r="W92" s="1538" t="s">
        <v>165</v>
      </c>
      <c r="X92" s="1539"/>
      <c r="Y92" s="1539"/>
      <c r="Z92" s="1540"/>
      <c r="AA92" s="16"/>
      <c r="AB92" s="16"/>
      <c r="AC92" s="490"/>
      <c r="AD92" s="16"/>
      <c r="AE92" s="225"/>
      <c r="AF92" s="16"/>
      <c r="AG92" s="16"/>
      <c r="AH92" s="16"/>
      <c r="AI92" s="172"/>
      <c r="AJ92" s="172"/>
      <c r="AK92" s="172"/>
      <c r="AL92" s="172"/>
      <c r="AM92" s="172"/>
      <c r="AN92" s="172"/>
      <c r="AO92" s="172"/>
      <c r="AP92" s="172"/>
      <c r="AQ92" s="172"/>
      <c r="AR92" s="172"/>
      <c r="AS92" s="172"/>
      <c r="AT92" s="172"/>
      <c r="AU92" s="172"/>
      <c r="AV92" s="172"/>
      <c r="AW92" s="172"/>
      <c r="AX92" s="256"/>
      <c r="AY92" s="256"/>
      <c r="AZ92" s="256"/>
      <c r="BA92" s="256"/>
      <c r="BB92" s="256"/>
      <c r="BC92" s="256"/>
      <c r="BD92" s="256"/>
      <c r="BE92" s="256"/>
      <c r="BF92" s="256"/>
      <c r="BG92" s="256"/>
      <c r="BH92" s="256"/>
      <c r="BI92" s="256"/>
      <c r="BJ92" s="256"/>
      <c r="BK92" s="256"/>
      <c r="BL92" s="256"/>
      <c r="BM92" s="256"/>
      <c r="BN92" s="256"/>
      <c r="BO92" s="256"/>
      <c r="BP92" s="256"/>
      <c r="BQ92" s="256"/>
      <c r="BR92" s="256"/>
      <c r="BS92" s="256"/>
      <c r="BT92" s="256"/>
      <c r="BU92" s="256"/>
      <c r="BV92" s="256"/>
      <c r="BW92" s="12"/>
      <c r="BX92" s="4"/>
      <c r="BY92" s="4"/>
      <c r="BZ92" s="4"/>
      <c r="CA92" s="4"/>
      <c r="CB92" s="4"/>
      <c r="CC92" s="4"/>
      <c r="CD92" s="4"/>
      <c r="CE92" s="4"/>
      <c r="CF92" s="4"/>
      <c r="CG92" s="4"/>
      <c r="CH92" s="4"/>
      <c r="CI92" s="13"/>
    </row>
    <row r="93" spans="1:96" ht="16.5" customHeight="1">
      <c r="A93" s="1513"/>
      <c r="B93" s="1513"/>
      <c r="C93" s="1513"/>
      <c r="W93" s="1541"/>
      <c r="X93" s="1542"/>
      <c r="Y93" s="1542"/>
      <c r="Z93" s="1543"/>
      <c r="AA93" s="16"/>
      <c r="AB93" s="16"/>
      <c r="AC93" s="490"/>
      <c r="AD93" s="16"/>
      <c r="AE93" s="225"/>
      <c r="AF93" s="238" t="s">
        <v>18</v>
      </c>
      <c r="AG93" s="1569" t="s">
        <v>174</v>
      </c>
      <c r="AH93" s="16"/>
      <c r="AI93" s="172"/>
      <c r="AJ93" s="172"/>
      <c r="AK93" s="172"/>
      <c r="AL93" s="172"/>
      <c r="AM93" s="172"/>
      <c r="AN93" s="172"/>
      <c r="AO93" s="172"/>
      <c r="AP93" s="172"/>
      <c r="AQ93" s="172"/>
      <c r="AR93" s="172"/>
      <c r="AS93" s="172"/>
      <c r="AT93" s="172"/>
      <c r="AU93" s="172"/>
      <c r="AV93" s="172"/>
      <c r="AW93" s="172"/>
      <c r="AX93" s="198"/>
      <c r="AY93" s="198"/>
      <c r="AZ93" s="198"/>
      <c r="BA93" s="220"/>
      <c r="BB93" s="220"/>
      <c r="BC93" s="198"/>
      <c r="BD93" s="398"/>
      <c r="BE93" s="398"/>
      <c r="BF93" s="398"/>
      <c r="BG93" s="398"/>
      <c r="BH93" s="398"/>
      <c r="BI93" s="398"/>
      <c r="BJ93" s="398"/>
      <c r="BK93" s="398"/>
      <c r="BL93" s="398"/>
      <c r="BM93" s="398"/>
      <c r="BN93" s="398"/>
      <c r="BO93" s="398"/>
      <c r="BP93" s="398"/>
      <c r="BQ93" s="398"/>
      <c r="BR93" s="398"/>
      <c r="BS93" s="198"/>
      <c r="BT93" s="198"/>
      <c r="BU93" s="198"/>
      <c r="BV93" s="198"/>
      <c r="BW93" s="12"/>
      <c r="BX93" s="4"/>
      <c r="BY93" s="4"/>
      <c r="BZ93" s="4"/>
      <c r="CA93" s="4"/>
      <c r="CB93" s="4"/>
      <c r="CC93" s="4"/>
      <c r="CD93" s="4"/>
      <c r="CE93" s="4"/>
      <c r="CF93" s="4"/>
      <c r="CG93" s="4"/>
      <c r="CH93" s="4"/>
      <c r="CI93" s="13"/>
    </row>
    <row r="94" spans="1:96" ht="27.75" customHeight="1">
      <c r="D94" s="116">
        <f>D5</f>
        <v>7</v>
      </c>
      <c r="E94" s="1518" t="s">
        <v>23</v>
      </c>
      <c r="F94" s="1519"/>
      <c r="K94" s="18"/>
      <c r="R94" s="19" t="s">
        <v>28</v>
      </c>
      <c r="S94" s="20">
        <f>H109+H119+H129+H139+H149+H159+H169</f>
        <v>1</v>
      </c>
      <c r="T94" s="21" t="s">
        <v>4</v>
      </c>
      <c r="W94" s="22" t="s">
        <v>34</v>
      </c>
      <c r="X94" s="23">
        <f>IF($CM$14=0,0,IF($AH$13&gt;0,0,CP48))</f>
        <v>643</v>
      </c>
      <c r="Y94" s="24" t="s">
        <v>39</v>
      </c>
      <c r="Z94" s="25">
        <f>IF($CM$14=0,0,IF($AH$13&gt;0,0,CP54))</f>
        <v>540</v>
      </c>
      <c r="AA94" s="26"/>
      <c r="AB94" s="26"/>
      <c r="AC94" s="502" t="s">
        <v>34</v>
      </c>
      <c r="AD94" s="506" t="str">
        <f t="shared" ref="AD94:AD99" si="63">AK111</f>
        <v>OK</v>
      </c>
      <c r="AE94" s="486"/>
      <c r="AF94" s="239">
        <f>CE99</f>
        <v>260000</v>
      </c>
      <c r="AG94" s="1570"/>
      <c r="AH94" s="26"/>
      <c r="AI94" s="268"/>
      <c r="AJ94" s="268"/>
      <c r="AK94" s="268"/>
      <c r="AL94" s="268"/>
      <c r="AM94" s="268"/>
      <c r="AN94" s="268"/>
      <c r="AO94" s="268"/>
      <c r="AP94" s="268"/>
      <c r="AQ94" s="268"/>
      <c r="AR94" s="268"/>
      <c r="AS94" s="268"/>
      <c r="AT94" s="268"/>
      <c r="AU94" s="268"/>
      <c r="AV94" s="268"/>
      <c r="AW94" s="268"/>
      <c r="AX94" s="198"/>
      <c r="AY94" s="198"/>
      <c r="AZ94" s="198"/>
      <c r="BA94" s="220"/>
      <c r="BB94" s="220"/>
      <c r="BC94" s="198"/>
      <c r="BD94" s="398"/>
      <c r="BE94" s="398"/>
      <c r="BF94" s="398"/>
      <c r="BG94" s="398"/>
      <c r="BH94" s="398"/>
      <c r="BI94" s="398"/>
      <c r="BJ94" s="398"/>
      <c r="BK94" s="398"/>
      <c r="BL94" s="398"/>
      <c r="BM94" s="398"/>
      <c r="BN94" s="398"/>
      <c r="BO94" s="398"/>
      <c r="BP94" s="398"/>
      <c r="BQ94" s="398"/>
      <c r="BR94" s="398"/>
      <c r="BS94" s="198"/>
      <c r="BT94" s="198"/>
      <c r="BU94" s="198"/>
      <c r="BV94" s="198"/>
      <c r="BW94" s="12"/>
      <c r="BX94" s="4"/>
      <c r="BY94" s="4"/>
      <c r="BZ94" s="4"/>
      <c r="CA94" s="4"/>
      <c r="CB94" s="4"/>
      <c r="CC94" s="4"/>
      <c r="CD94" s="1461" t="s">
        <v>162</v>
      </c>
      <c r="CE94" s="1461"/>
      <c r="CF94" s="1461"/>
      <c r="CG94" s="1461"/>
      <c r="CH94" s="1461"/>
      <c r="CI94" s="13"/>
    </row>
    <row r="95" spans="1:96" ht="27.75" customHeight="1">
      <c r="A95" s="1555">
        <f>'合計（印刷）'!B2</f>
        <v>0</v>
      </c>
      <c r="B95" s="1555"/>
      <c r="C95" s="1555"/>
      <c r="D95" s="1555"/>
      <c r="E95" s="1555"/>
      <c r="F95" s="1555"/>
      <c r="G95" s="1555"/>
      <c r="H95" s="1555"/>
      <c r="I95" s="1555"/>
      <c r="J95" s="1555"/>
      <c r="K95" s="1555"/>
      <c r="L95" s="1555"/>
      <c r="M95" s="1555"/>
      <c r="N95" s="1555"/>
      <c r="O95" s="1555"/>
      <c r="P95" s="1555"/>
      <c r="Q95" s="1555"/>
      <c r="R95" s="1555"/>
      <c r="S95" s="1555"/>
      <c r="T95" s="1555"/>
      <c r="U95" s="1555"/>
      <c r="W95" s="28" t="s">
        <v>35</v>
      </c>
      <c r="X95" s="29">
        <f t="shared" ref="X95:X99" si="64">IF($CM$14=0,0,IF($AH$13&gt;0,0,CP49))</f>
        <v>540</v>
      </c>
      <c r="Y95" s="30" t="s">
        <v>40</v>
      </c>
      <c r="Z95" s="31">
        <f>IF($CM$14=0,0,IF($AH$13&gt;0,0,CP55))</f>
        <v>539</v>
      </c>
      <c r="AA95" s="26"/>
      <c r="AB95" s="26"/>
      <c r="AC95" s="503" t="s">
        <v>35</v>
      </c>
      <c r="AD95" s="507" t="str">
        <f t="shared" si="63"/>
        <v>OK</v>
      </c>
      <c r="AE95" s="486"/>
      <c r="AF95" s="237" t="s">
        <v>44</v>
      </c>
      <c r="AG95" s="1571">
        <f>IF(AF94&gt;=AF96,0,1)</f>
        <v>0</v>
      </c>
      <c r="AH95" s="26"/>
      <c r="AI95" s="174"/>
      <c r="AJ95" s="179"/>
      <c r="AK95" s="179"/>
      <c r="AL95" s="179"/>
      <c r="AM95" s="179"/>
      <c r="AN95" s="179"/>
      <c r="AO95" s="179"/>
      <c r="AP95" s="179"/>
      <c r="AQ95" s="179"/>
      <c r="AR95" s="179"/>
      <c r="AS95" s="179"/>
      <c r="AT95" s="179"/>
      <c r="AU95" s="179"/>
      <c r="AV95" s="179"/>
      <c r="AW95" s="179"/>
      <c r="AX95" s="198"/>
      <c r="AY95" s="143"/>
      <c r="AZ95" s="221"/>
      <c r="BA95" s="220"/>
      <c r="BB95" s="220"/>
      <c r="BC95" s="198"/>
      <c r="BD95" s="398"/>
      <c r="BE95" s="398"/>
      <c r="BF95" s="398"/>
      <c r="BG95" s="398"/>
      <c r="BH95" s="398"/>
      <c r="BI95" s="398"/>
      <c r="BJ95" s="398"/>
      <c r="BK95" s="398"/>
      <c r="BL95" s="398"/>
      <c r="BM95" s="398"/>
      <c r="BN95" s="398"/>
      <c r="BO95" s="398"/>
      <c r="BP95" s="398"/>
      <c r="BQ95" s="398"/>
      <c r="BR95" s="398"/>
      <c r="BS95" s="198"/>
      <c r="BT95" s="198"/>
      <c r="BU95" s="198"/>
      <c r="BV95" s="198"/>
      <c r="BW95" s="12"/>
      <c r="BX95" s="32"/>
      <c r="BY95" s="33" t="str">
        <f>BY105</f>
        <v>料率</v>
      </c>
      <c r="BZ95" s="33">
        <f>BZ105</f>
        <v>7</v>
      </c>
      <c r="CA95" s="33">
        <f>CA105</f>
        <v>5</v>
      </c>
      <c r="CB95" s="33">
        <f>CB105</f>
        <v>2</v>
      </c>
      <c r="CC95" s="4"/>
      <c r="CD95" s="34"/>
      <c r="CE95" s="35" t="s">
        <v>19</v>
      </c>
      <c r="CF95" s="36">
        <v>7</v>
      </c>
      <c r="CG95" s="36">
        <v>5</v>
      </c>
      <c r="CH95" s="36">
        <v>2</v>
      </c>
      <c r="CI95" s="13"/>
    </row>
    <row r="96" spans="1:96" ht="27.75" customHeight="1">
      <c r="A96" s="37"/>
      <c r="B96" s="38"/>
      <c r="C96" s="38"/>
      <c r="D96" s="38"/>
      <c r="E96" s="38"/>
      <c r="F96" s="38"/>
      <c r="G96" s="38"/>
      <c r="H96" s="39"/>
      <c r="I96" s="38"/>
      <c r="J96" s="38"/>
      <c r="K96" s="40" t="s">
        <v>9</v>
      </c>
      <c r="L96" s="38"/>
      <c r="M96" s="38"/>
      <c r="N96" s="41"/>
      <c r="O96" s="166"/>
      <c r="P96" s="167"/>
      <c r="Q96" s="38"/>
      <c r="R96" s="38"/>
      <c r="S96" s="38"/>
      <c r="T96" s="38"/>
      <c r="U96" s="38"/>
      <c r="V96" s="141"/>
      <c r="W96" s="28" t="s">
        <v>36</v>
      </c>
      <c r="X96" s="29">
        <f t="shared" si="64"/>
        <v>540</v>
      </c>
      <c r="Y96" s="30" t="s">
        <v>41</v>
      </c>
      <c r="Z96" s="31">
        <f>IF($CM$14=0,0,IF($AH$13&gt;0,0,CP56))</f>
        <v>539</v>
      </c>
      <c r="AA96" s="26"/>
      <c r="AB96" s="26"/>
      <c r="AC96" s="503" t="s">
        <v>36</v>
      </c>
      <c r="AD96" s="507" t="str">
        <f t="shared" si="63"/>
        <v>OK</v>
      </c>
      <c r="AE96" s="486"/>
      <c r="AF96" s="45">
        <f>AF99+AF105+AF115+AF125+AF135+AF145+AF155+AF165</f>
        <v>5540</v>
      </c>
      <c r="AG96" s="1572"/>
      <c r="AH96" s="26"/>
      <c r="AI96" s="174"/>
      <c r="AJ96" s="179"/>
      <c r="AK96" s="179"/>
      <c r="AL96" s="179"/>
      <c r="AM96" s="179"/>
      <c r="AN96" s="179"/>
      <c r="AO96" s="179"/>
      <c r="AP96" s="179"/>
      <c r="AQ96" s="179"/>
      <c r="AR96" s="179"/>
      <c r="AS96" s="179"/>
      <c r="AT96" s="179"/>
      <c r="AU96" s="179"/>
      <c r="AV96" s="179"/>
      <c r="AW96" s="179"/>
      <c r="AX96" s="198"/>
      <c r="AY96" s="143"/>
      <c r="AZ96" s="221"/>
      <c r="BA96" s="220"/>
      <c r="BB96" s="220"/>
      <c r="BC96" s="198"/>
      <c r="BD96" s="398"/>
      <c r="BE96" s="398"/>
      <c r="BF96" s="398"/>
      <c r="BG96" s="398"/>
      <c r="BH96" s="398"/>
      <c r="BI96" s="398"/>
      <c r="BJ96" s="398"/>
      <c r="BK96" s="398"/>
      <c r="BL96" s="398"/>
      <c r="BM96" s="398"/>
      <c r="BN96" s="398"/>
      <c r="BO96" s="398"/>
      <c r="BP96" s="398"/>
      <c r="BQ96" s="398"/>
      <c r="BR96" s="398"/>
      <c r="BS96" s="198"/>
      <c r="BT96" s="198"/>
      <c r="BU96" s="198"/>
      <c r="BV96" s="198"/>
      <c r="BW96" s="12"/>
      <c r="BX96" s="32" t="s">
        <v>1</v>
      </c>
      <c r="BY96" s="44">
        <v>0</v>
      </c>
      <c r="BZ96" s="45">
        <f>CF98</f>
        <v>6510</v>
      </c>
      <c r="CA96" s="45">
        <f>CG98</f>
        <v>4650</v>
      </c>
      <c r="CB96" s="45">
        <f>CH98</f>
        <v>1860</v>
      </c>
      <c r="CC96" s="4"/>
      <c r="CD96" s="46" t="s">
        <v>0</v>
      </c>
      <c r="CE96" s="47">
        <f>入力画面!E72</f>
        <v>2.96</v>
      </c>
      <c r="CF96" s="48"/>
      <c r="CG96" s="48"/>
      <c r="CH96" s="48"/>
      <c r="CI96" s="13"/>
    </row>
    <row r="97" spans="1:94" ht="27.75" customHeight="1">
      <c r="A97" s="1384" t="s">
        <v>1</v>
      </c>
      <c r="B97" s="1385"/>
      <c r="C97" s="1010" t="s">
        <v>107</v>
      </c>
      <c r="D97" s="1379" t="s">
        <v>121</v>
      </c>
      <c r="E97" s="1382">
        <f>IF(S94&gt;0,CE98,0)</f>
        <v>9300</v>
      </c>
      <c r="F97" s="1382"/>
      <c r="G97" s="1382"/>
      <c r="H97" s="1010" t="s">
        <v>109</v>
      </c>
      <c r="I97" s="12"/>
      <c r="J97" s="1010" t="s">
        <v>59</v>
      </c>
      <c r="K97" s="51">
        <f>MAX(BV165:BV171)</f>
        <v>12</v>
      </c>
      <c r="L97" s="52" t="s">
        <v>5</v>
      </c>
      <c r="M97" s="1395" t="s">
        <v>122</v>
      </c>
      <c r="N97" s="1392" t="s">
        <v>14</v>
      </c>
      <c r="O97" s="1525">
        <f>E97*K97/K98</f>
        <v>9300</v>
      </c>
      <c r="P97" s="1525"/>
      <c r="Q97" s="1524" t="s">
        <v>6</v>
      </c>
      <c r="R97" s="1391"/>
      <c r="S97" s="1524"/>
      <c r="T97" s="49"/>
      <c r="U97" s="49"/>
      <c r="V97" s="53"/>
      <c r="W97" s="28" t="s">
        <v>43</v>
      </c>
      <c r="X97" s="29">
        <f t="shared" si="64"/>
        <v>540</v>
      </c>
      <c r="Y97" s="30" t="s">
        <v>42</v>
      </c>
      <c r="Z97" s="31">
        <f>IF($CM$14=0,0,IF($AH$13&gt;0,0,CP57))</f>
        <v>539</v>
      </c>
      <c r="AA97" s="26"/>
      <c r="AB97" s="26"/>
      <c r="AC97" s="503" t="s">
        <v>43</v>
      </c>
      <c r="AD97" s="507" t="str">
        <f t="shared" si="63"/>
        <v>OK</v>
      </c>
      <c r="AE97" s="494">
        <f>IF(AG95&gt;0,"限度超過",U109+U119+U129+U139+U149+U169)</f>
        <v>5500</v>
      </c>
      <c r="AF97" s="26"/>
      <c r="AG97" s="26"/>
      <c r="AH97" s="26"/>
      <c r="AI97" s="173"/>
      <c r="AJ97" s="173"/>
      <c r="AK97" s="173"/>
      <c r="AL97" s="173"/>
      <c r="AM97" s="173"/>
      <c r="AN97" s="173"/>
      <c r="AO97" s="173"/>
      <c r="AP97" s="173"/>
      <c r="AQ97" s="173"/>
      <c r="AR97" s="173"/>
      <c r="AS97" s="173"/>
      <c r="AT97" s="173"/>
      <c r="AU97" s="173"/>
      <c r="AV97" s="173"/>
      <c r="AW97" s="173"/>
      <c r="AX97" s="198"/>
      <c r="AY97" s="143"/>
      <c r="AZ97" s="221"/>
      <c r="BA97" s="220"/>
      <c r="BB97" s="220"/>
      <c r="BC97" s="198"/>
      <c r="BD97" s="398"/>
      <c r="BE97" s="398"/>
      <c r="BF97" s="398"/>
      <c r="BG97" s="398"/>
      <c r="BH97" s="398"/>
      <c r="BI97" s="398"/>
      <c r="BJ97" s="398"/>
      <c r="BK97" s="398"/>
      <c r="BL97" s="398"/>
      <c r="BM97" s="398"/>
      <c r="BN97" s="398"/>
      <c r="BO97" s="398"/>
      <c r="BP97" s="398"/>
      <c r="BQ97" s="398"/>
      <c r="BR97" s="398"/>
      <c r="BS97" s="198"/>
      <c r="BT97" s="198"/>
      <c r="BU97" s="198"/>
      <c r="BV97" s="198"/>
      <c r="BW97" s="12"/>
      <c r="BX97" s="32" t="s">
        <v>8</v>
      </c>
      <c r="BY97" s="45">
        <f>K97</f>
        <v>12</v>
      </c>
      <c r="BZ97" s="45">
        <f t="shared" ref="BZ97:CB98" si="65">BY97</f>
        <v>12</v>
      </c>
      <c r="CA97" s="45">
        <f t="shared" si="65"/>
        <v>12</v>
      </c>
      <c r="CB97" s="45">
        <f t="shared" si="65"/>
        <v>12</v>
      </c>
      <c r="CC97" s="4"/>
      <c r="CD97" s="46" t="s">
        <v>17</v>
      </c>
      <c r="CE97" s="54">
        <f>入力画面!E73</f>
        <v>9190</v>
      </c>
      <c r="CF97" s="54">
        <f>ROUNDUP(CE97*CF95/10,-1)</f>
        <v>6440</v>
      </c>
      <c r="CG97" s="54">
        <f>ROUNDUP(CE97*CG95/10,-1)</f>
        <v>4600</v>
      </c>
      <c r="CH97" s="54">
        <f>ROUNDUP(CE97*CH95/10,-1)</f>
        <v>1840</v>
      </c>
      <c r="CI97" s="13"/>
    </row>
    <row r="98" spans="1:94" ht="27.75" customHeight="1">
      <c r="A98" s="1384"/>
      <c r="B98" s="1385"/>
      <c r="C98" s="1010"/>
      <c r="D98" s="1379"/>
      <c r="E98" s="1382"/>
      <c r="F98" s="1382"/>
      <c r="G98" s="1382"/>
      <c r="H98" s="1010"/>
      <c r="I98" s="12"/>
      <c r="J98" s="1010"/>
      <c r="K98" s="55">
        <v>12</v>
      </c>
      <c r="L98" s="12" t="s">
        <v>5</v>
      </c>
      <c r="M98" s="1395"/>
      <c r="N98" s="1392"/>
      <c r="O98" s="1525"/>
      <c r="P98" s="1525"/>
      <c r="Q98" s="1524"/>
      <c r="R98" s="1391"/>
      <c r="S98" s="1524"/>
      <c r="T98" s="49" t="s">
        <v>113</v>
      </c>
      <c r="U98" s="49"/>
      <c r="V98" s="53"/>
      <c r="W98" s="28" t="s">
        <v>37</v>
      </c>
      <c r="X98" s="29">
        <f t="shared" si="64"/>
        <v>540</v>
      </c>
      <c r="Y98" s="1557" t="s">
        <v>44</v>
      </c>
      <c r="Z98" s="1420">
        <f>IF($AH$13&gt;0,0,X94+X95+X96+X97+X98+X99+Z94+Z95+Z96+Z97)</f>
        <v>5500</v>
      </c>
      <c r="AA98" s="26"/>
      <c r="AB98" s="26"/>
      <c r="AC98" s="503" t="s">
        <v>37</v>
      </c>
      <c r="AD98" s="507" t="str">
        <f t="shared" si="63"/>
        <v>OK</v>
      </c>
      <c r="AE98" s="495" t="str">
        <f>IF(AG95&gt;0,"限度超過",IF(Z98=AE97,"OK","エラー"))</f>
        <v>OK</v>
      </c>
      <c r="AF98" s="470"/>
      <c r="AG98" s="26"/>
      <c r="AH98" s="4"/>
      <c r="AI98" s="173"/>
      <c r="AJ98" s="174"/>
      <c r="AK98" s="174"/>
      <c r="AL98" s="174"/>
      <c r="AM98" s="174"/>
      <c r="AN98" s="174"/>
      <c r="AO98" s="174"/>
      <c r="AP98" s="174"/>
      <c r="AQ98" s="174"/>
      <c r="AR98" s="174"/>
      <c r="AS98" s="174"/>
      <c r="AT98" s="174"/>
      <c r="AU98" s="174"/>
      <c r="AV98" s="174"/>
      <c r="AW98" s="174"/>
      <c r="AX98" s="12"/>
      <c r="AY98" s="143"/>
      <c r="AZ98" s="221"/>
      <c r="BB98" s="192"/>
      <c r="BC98" s="12"/>
      <c r="BE98" s="57"/>
      <c r="BG98" s="57"/>
      <c r="BH98" s="12"/>
      <c r="BJ98" s="57"/>
      <c r="BL98" s="57"/>
      <c r="BM98" s="12"/>
      <c r="BO98" s="57"/>
      <c r="BQ98" s="57"/>
      <c r="BR98" s="12"/>
      <c r="BS98" s="12"/>
      <c r="BT98" s="12"/>
      <c r="BU98" s="12"/>
      <c r="BV98" s="12"/>
      <c r="BW98" s="12"/>
      <c r="BX98" s="32" t="s">
        <v>25</v>
      </c>
      <c r="BY98" s="45">
        <f>K98</f>
        <v>12</v>
      </c>
      <c r="BZ98" s="45">
        <f t="shared" si="65"/>
        <v>12</v>
      </c>
      <c r="CA98" s="45">
        <f t="shared" si="65"/>
        <v>12</v>
      </c>
      <c r="CB98" s="45">
        <f t="shared" si="65"/>
        <v>12</v>
      </c>
      <c r="CC98" s="4"/>
      <c r="CD98" s="46" t="s">
        <v>1</v>
      </c>
      <c r="CE98" s="54">
        <f>入力画面!E74</f>
        <v>9300</v>
      </c>
      <c r="CF98" s="54">
        <f>ROUNDUP(CE98*CF95/10,-1)</f>
        <v>6510</v>
      </c>
      <c r="CG98" s="54">
        <f>ROUNDUP(CE98*CG95/10,-1)</f>
        <v>4650</v>
      </c>
      <c r="CH98" s="54">
        <f>ROUNDUP(CE98*CH95/10,-1)</f>
        <v>1860</v>
      </c>
      <c r="CI98" s="13"/>
    </row>
    <row r="99" spans="1:94" ht="27.75" customHeight="1">
      <c r="A99" s="165"/>
      <c r="B99" s="12"/>
      <c r="C99" s="12"/>
      <c r="D99" s="12"/>
      <c r="E99" s="12"/>
      <c r="F99" s="12"/>
      <c r="G99" s="12"/>
      <c r="H99" s="50"/>
      <c r="I99" s="12"/>
      <c r="J99" s="12"/>
      <c r="K99" s="76" t="s">
        <v>9</v>
      </c>
      <c r="L99" s="12"/>
      <c r="M99" s="12"/>
      <c r="N99" s="94"/>
      <c r="O99" s="42"/>
      <c r="P99" s="43"/>
      <c r="Q99" s="12"/>
      <c r="R99" s="12"/>
      <c r="S99" s="12" t="s">
        <v>116</v>
      </c>
      <c r="T99" s="161">
        <f>O97-O100</f>
        <v>2790</v>
      </c>
      <c r="U99" s="12" t="s">
        <v>6</v>
      </c>
      <c r="V99" s="12"/>
      <c r="W99" s="65" t="s">
        <v>38</v>
      </c>
      <c r="X99" s="66">
        <f t="shared" si="64"/>
        <v>540</v>
      </c>
      <c r="Y99" s="1558"/>
      <c r="Z99" s="1559"/>
      <c r="AA99" s="4"/>
      <c r="AB99" s="4"/>
      <c r="AC99" s="503" t="s">
        <v>38</v>
      </c>
      <c r="AD99" s="507" t="str">
        <f t="shared" si="63"/>
        <v>OK</v>
      </c>
      <c r="AE99" s="494">
        <f>IF(AH13&gt;0,0,L264)</f>
        <v>0</v>
      </c>
      <c r="AF99" s="471">
        <f>E97-E100</f>
        <v>2790</v>
      </c>
      <c r="AG99" s="4"/>
      <c r="AH99" s="4"/>
      <c r="AI99" s="269"/>
      <c r="AJ99" s="179"/>
      <c r="AK99" s="179"/>
      <c r="AL99" s="179"/>
      <c r="AM99" s="179"/>
      <c r="AN99" s="179"/>
      <c r="AO99" s="179"/>
      <c r="AP99" s="179"/>
      <c r="AQ99" s="179"/>
      <c r="AR99" s="179"/>
      <c r="AS99" s="179"/>
      <c r="AT99" s="179"/>
      <c r="AU99" s="179"/>
      <c r="AV99" s="179"/>
      <c r="AW99" s="179"/>
      <c r="AX99" s="12"/>
      <c r="AY99" s="1468" t="s">
        <v>264</v>
      </c>
      <c r="AZ99" s="1469"/>
      <c r="BA99" s="1470"/>
      <c r="BB99" s="462">
        <f>IF(AG2,"限度超過",BB109+BB119+BB129+BB139+BB149+BB159+BB169)</f>
        <v>5500</v>
      </c>
      <c r="BC99" s="12"/>
      <c r="BD99" s="142"/>
      <c r="BE99" s="57"/>
      <c r="BH99" s="12"/>
      <c r="BJ99" s="57"/>
      <c r="BM99" s="12"/>
      <c r="BO99" s="57"/>
      <c r="BR99" s="12"/>
      <c r="BS99" s="12"/>
      <c r="BT99" s="12"/>
      <c r="BU99" s="12"/>
      <c r="BV99" s="12"/>
      <c r="BW99" s="12"/>
      <c r="BX99" s="67" t="s">
        <v>27</v>
      </c>
      <c r="BY99" s="44">
        <v>0</v>
      </c>
      <c r="BZ99" s="45">
        <f>ROUNDDOWN(BZ96*BZ97/BZ98,0)</f>
        <v>6510</v>
      </c>
      <c r="CA99" s="45">
        <f>ROUNDDOWN(CA96*CA97/CA98,0)</f>
        <v>4650</v>
      </c>
      <c r="CB99" s="45">
        <f>ROUNDDOWN(CB96*CB97/CB98,0)</f>
        <v>1860</v>
      </c>
      <c r="CC99" s="4"/>
      <c r="CD99" s="46" t="s">
        <v>18</v>
      </c>
      <c r="CE99" s="54">
        <f>入力画面!E75</f>
        <v>260000</v>
      </c>
      <c r="CF99" s="48"/>
      <c r="CG99" s="48"/>
      <c r="CH99" s="48"/>
      <c r="CI99" s="13"/>
    </row>
    <row r="100" spans="1:94" ht="16.5" customHeight="1">
      <c r="A100" s="1384"/>
      <c r="B100" s="1385"/>
      <c r="C100" s="1010" t="s">
        <v>24</v>
      </c>
      <c r="D100" s="1379" t="s">
        <v>123</v>
      </c>
      <c r="E100" s="1382">
        <f>IF(D94=0,0,IF(D94=7,CF98,IF(D94=5,CG98,IF(D94=2,CH98,"軽減誤り"))))</f>
        <v>6510</v>
      </c>
      <c r="F100" s="1382"/>
      <c r="G100" s="1382"/>
      <c r="H100" s="1010" t="s">
        <v>109</v>
      </c>
      <c r="I100" s="12"/>
      <c r="J100" s="1010" t="s">
        <v>59</v>
      </c>
      <c r="K100" s="51">
        <f>MAX(BV165:BV171)</f>
        <v>12</v>
      </c>
      <c r="L100" s="52" t="s">
        <v>5</v>
      </c>
      <c r="M100" s="1395" t="s">
        <v>122</v>
      </c>
      <c r="N100" s="1392" t="s">
        <v>14</v>
      </c>
      <c r="O100" s="1525">
        <f>E100*K100/K101</f>
        <v>6510</v>
      </c>
      <c r="P100" s="1525"/>
      <c r="Q100" s="1524" t="s">
        <v>6</v>
      </c>
      <c r="R100" s="12"/>
      <c r="S100" s="12"/>
      <c r="T100" s="49"/>
      <c r="U100" s="49"/>
      <c r="V100" s="12"/>
      <c r="W100" s="1573" t="s">
        <v>120</v>
      </c>
      <c r="X100" s="1574"/>
      <c r="Y100" s="1575">
        <f>IF(Z98=0,0,Z98/K97)</f>
        <v>458</v>
      </c>
      <c r="Z100" s="1576"/>
      <c r="AA100" s="4"/>
      <c r="AB100" s="4"/>
      <c r="AC100" s="503" t="s">
        <v>39</v>
      </c>
      <c r="AD100" s="505" t="str">
        <f>AM111</f>
        <v>OK</v>
      </c>
      <c r="AE100" s="495" t="str">
        <f>IF(Z98=AE99,"OK","エラー")</f>
        <v>エラー</v>
      </c>
      <c r="AF100" s="472"/>
      <c r="AG100" s="4"/>
      <c r="AH100" s="4" t="s">
        <v>166</v>
      </c>
      <c r="AI100" s="174"/>
      <c r="AJ100" s="174"/>
      <c r="AK100" s="174"/>
      <c r="AL100" s="174"/>
      <c r="AM100" s="174"/>
      <c r="AN100" s="174"/>
      <c r="AO100" s="174"/>
      <c r="AP100" s="174"/>
      <c r="AQ100" s="174"/>
      <c r="AR100" s="174"/>
      <c r="AS100" s="174"/>
      <c r="AT100" s="174"/>
      <c r="AU100" s="174"/>
      <c r="AV100" s="174"/>
      <c r="AW100" s="174"/>
      <c r="AX100" s="12"/>
      <c r="AY100" s="143"/>
      <c r="AZ100" s="57"/>
      <c r="BB100" s="1471" t="s">
        <v>265</v>
      </c>
      <c r="BC100" s="12"/>
      <c r="BD100" s="142"/>
      <c r="BE100" s="57"/>
      <c r="BH100" s="12"/>
      <c r="BJ100" s="57"/>
      <c r="BM100" s="12"/>
      <c r="BO100" s="57"/>
      <c r="BR100" s="12"/>
      <c r="BS100" s="12"/>
      <c r="BT100" s="12"/>
      <c r="BU100" s="12"/>
      <c r="BV100" s="12"/>
      <c r="BW100" s="12"/>
      <c r="BX100" s="4"/>
      <c r="BY100" s="164"/>
      <c r="BZ100" s="26"/>
      <c r="CA100" s="26"/>
      <c r="CB100" s="26"/>
      <c r="CC100" s="4"/>
      <c r="CD100" s="35" t="s">
        <v>21</v>
      </c>
      <c r="CE100" s="54">
        <f>入力画面!E76</f>
        <v>430000</v>
      </c>
      <c r="CF100" s="48"/>
      <c r="CG100" s="48"/>
      <c r="CH100" s="48"/>
      <c r="CI100" s="13"/>
      <c r="CK100" s="1457" t="s">
        <v>402</v>
      </c>
      <c r="CL100" s="1273" t="s">
        <v>196</v>
      </c>
      <c r="CM100" s="1459" t="s">
        <v>411</v>
      </c>
      <c r="CN100" s="666" t="s">
        <v>412</v>
      </c>
      <c r="CO100" s="1462" t="s">
        <v>214</v>
      </c>
      <c r="CP100" s="1446" t="s">
        <v>205</v>
      </c>
    </row>
    <row r="101" spans="1:94" ht="16.5" customHeight="1" thickBot="1">
      <c r="A101" s="1384"/>
      <c r="B101" s="1385"/>
      <c r="C101" s="1010"/>
      <c r="D101" s="1379"/>
      <c r="E101" s="1382"/>
      <c r="F101" s="1382"/>
      <c r="G101" s="1382"/>
      <c r="H101" s="1010"/>
      <c r="I101" s="12"/>
      <c r="J101" s="1010"/>
      <c r="K101" s="55">
        <v>12</v>
      </c>
      <c r="L101" s="12" t="s">
        <v>5</v>
      </c>
      <c r="M101" s="1395"/>
      <c r="N101" s="1392"/>
      <c r="O101" s="1525"/>
      <c r="P101" s="1525"/>
      <c r="Q101" s="1524"/>
      <c r="R101" s="12"/>
      <c r="S101" s="12"/>
      <c r="T101" s="49" t="s">
        <v>114</v>
      </c>
      <c r="U101" s="49"/>
      <c r="V101" s="75" t="s">
        <v>118</v>
      </c>
      <c r="W101" s="4"/>
      <c r="X101" s="26"/>
      <c r="Y101" s="74"/>
      <c r="Z101" s="185"/>
      <c r="AA101" s="4"/>
      <c r="AB101" s="4"/>
      <c r="AC101" s="503" t="s">
        <v>40</v>
      </c>
      <c r="AD101" s="505" t="str">
        <f>AM112</f>
        <v>OK</v>
      </c>
      <c r="AE101" s="74"/>
      <c r="AF101" s="229"/>
      <c r="AG101" s="4"/>
      <c r="AH101" s="158" t="s">
        <v>117</v>
      </c>
      <c r="AI101" s="174"/>
      <c r="AJ101" s="174"/>
      <c r="AK101" s="174"/>
      <c r="AL101" s="174"/>
      <c r="AM101" s="174"/>
      <c r="AN101" s="174"/>
      <c r="AO101" s="174"/>
      <c r="AP101" s="174"/>
      <c r="AQ101" s="174"/>
      <c r="AR101" s="174"/>
      <c r="AS101" s="174"/>
      <c r="AT101" s="174"/>
      <c r="AU101" s="174"/>
      <c r="AV101" s="174"/>
      <c r="AW101" s="174"/>
      <c r="AX101" s="12"/>
      <c r="AY101" s="143"/>
      <c r="AZ101" s="57"/>
      <c r="BB101" s="1472"/>
      <c r="BC101" s="12"/>
      <c r="BD101" s="142"/>
      <c r="BE101" s="57"/>
      <c r="BH101" s="12"/>
      <c r="BJ101" s="57"/>
      <c r="BM101" s="12"/>
      <c r="BO101" s="57"/>
      <c r="BR101" s="12"/>
      <c r="BS101" s="12"/>
      <c r="BT101" s="12"/>
      <c r="BU101" s="12"/>
      <c r="BV101" s="12"/>
      <c r="BW101" s="12"/>
      <c r="BX101" s="4"/>
      <c r="BY101" s="164"/>
      <c r="BZ101" s="26"/>
      <c r="CA101" s="26"/>
      <c r="CB101" s="26"/>
      <c r="CC101" s="4"/>
      <c r="CD101" s="575" t="s">
        <v>340</v>
      </c>
      <c r="CE101" s="54">
        <f>入力画面!E77</f>
        <v>4590</v>
      </c>
      <c r="CF101" s="54">
        <f>入力画面!G77</f>
        <v>1370</v>
      </c>
      <c r="CG101" s="54">
        <f>入力画面!J77</f>
        <v>2290</v>
      </c>
      <c r="CH101" s="54">
        <f>入力画面!N77</f>
        <v>3670</v>
      </c>
      <c r="CI101" s="13"/>
      <c r="CK101" s="1458"/>
      <c r="CL101" s="1274"/>
      <c r="CM101" s="1460"/>
      <c r="CN101" s="667" t="s">
        <v>410</v>
      </c>
      <c r="CO101" s="1463"/>
      <c r="CP101" s="1447"/>
    </row>
    <row r="102" spans="1:94" ht="16.5" customHeight="1" thickTop="1">
      <c r="A102" s="58"/>
      <c r="B102" s="59"/>
      <c r="C102" s="59"/>
      <c r="D102" s="52"/>
      <c r="E102" s="60"/>
      <c r="F102" s="52"/>
      <c r="G102" s="52"/>
      <c r="H102" s="27"/>
      <c r="I102" s="52"/>
      <c r="J102" s="27"/>
      <c r="K102" s="61"/>
      <c r="L102" s="52"/>
      <c r="M102" s="52"/>
      <c r="N102" s="62"/>
      <c r="O102" s="62"/>
      <c r="P102" s="52"/>
      <c r="Q102" s="63"/>
      <c r="R102" s="60"/>
      <c r="S102" s="59" t="s">
        <v>124</v>
      </c>
      <c r="T102" s="210">
        <f>入力画面!I13+K116+K126+K136+K146+K156+K166</f>
        <v>12</v>
      </c>
      <c r="U102" s="59" t="s">
        <v>5</v>
      </c>
      <c r="V102" s="52" t="s">
        <v>125</v>
      </c>
      <c r="W102" s="186"/>
      <c r="X102" s="187">
        <f>IF(K97=0,0,T99/T102)</f>
        <v>233</v>
      </c>
      <c r="Y102" s="60" t="s">
        <v>6</v>
      </c>
      <c r="Z102" s="163"/>
      <c r="AA102" s="4"/>
      <c r="AB102" s="4"/>
      <c r="AC102" s="503" t="s">
        <v>41</v>
      </c>
      <c r="AD102" s="505" t="str">
        <f>AM113</f>
        <v>OK</v>
      </c>
      <c r="AE102" s="74"/>
      <c r="AF102" s="229"/>
      <c r="AG102" s="4"/>
      <c r="AH102" s="273">
        <f>AH13</f>
        <v>0</v>
      </c>
      <c r="AI102" s="174"/>
      <c r="AJ102" s="174"/>
      <c r="AK102" s="174"/>
      <c r="AL102" s="174"/>
      <c r="AM102" s="174"/>
      <c r="AN102" s="174"/>
      <c r="AO102" s="1407" t="s">
        <v>233</v>
      </c>
      <c r="AP102" s="1407"/>
      <c r="AQ102" s="1407"/>
      <c r="AR102" s="1407"/>
      <c r="AS102" s="347"/>
      <c r="AT102" s="1406" t="s">
        <v>225</v>
      </c>
      <c r="AU102" s="1406"/>
      <c r="AV102" s="347"/>
      <c r="AW102" s="347"/>
      <c r="AX102" s="318"/>
      <c r="AY102" s="1578" t="s">
        <v>225</v>
      </c>
      <c r="AZ102" s="1579"/>
      <c r="BA102" s="414"/>
      <c r="BB102" s="415"/>
      <c r="BC102" s="318"/>
      <c r="BD102" s="441"/>
      <c r="BE102" s="442"/>
      <c r="BF102" s="443"/>
      <c r="BG102" s="443"/>
      <c r="BH102" s="444"/>
      <c r="BI102" s="443"/>
      <c r="BJ102" s="442"/>
      <c r="BK102" s="443"/>
      <c r="BL102" s="443"/>
      <c r="BM102" s="444"/>
      <c r="BN102" s="443"/>
      <c r="BO102" s="442"/>
      <c r="BP102" s="443"/>
      <c r="BQ102" s="443"/>
      <c r="BR102" s="445"/>
      <c r="BS102" s="12"/>
      <c r="BT102" s="12"/>
      <c r="BU102" s="12"/>
      <c r="BV102" s="12"/>
      <c r="BW102" s="12"/>
      <c r="BX102" s="4"/>
      <c r="BY102" s="164"/>
      <c r="BZ102" s="26"/>
      <c r="CA102" s="26"/>
      <c r="CB102" s="26"/>
      <c r="CC102" s="4"/>
      <c r="CD102" s="184"/>
      <c r="CE102" s="26"/>
      <c r="CF102" s="4"/>
      <c r="CG102" s="4"/>
      <c r="CH102" s="4"/>
      <c r="CI102" s="13"/>
      <c r="CK102" s="1455" t="s">
        <v>195</v>
      </c>
      <c r="CL102" s="280" t="s">
        <v>202</v>
      </c>
      <c r="CM102" s="309">
        <f>L264</f>
        <v>0</v>
      </c>
      <c r="CN102" s="288">
        <f>IF(CM14=0,0,ROUNDDOWN(CM102/CM14,8))</f>
        <v>0</v>
      </c>
      <c r="CO102" s="287" t="str">
        <f>IF(SUM(CO103:CO112)=CN114,"計算ＯＫ","エラー発生")</f>
        <v>計算ＯＫ</v>
      </c>
      <c r="CP102" s="285">
        <f>SUM(CP103:CP112)</f>
        <v>0</v>
      </c>
    </row>
    <row r="103" spans="1:94" ht="20.25" customHeight="1">
      <c r="A103" s="68"/>
      <c r="B103" s="68"/>
      <c r="C103" s="68"/>
      <c r="E103" s="69"/>
      <c r="J103" s="9"/>
      <c r="K103" s="18"/>
      <c r="Q103" s="70"/>
      <c r="R103" s="69"/>
      <c r="S103" s="68"/>
      <c r="T103" s="1585" t="s">
        <v>74</v>
      </c>
      <c r="U103" s="1585"/>
      <c r="V103" s="1585"/>
      <c r="W103" s="1585"/>
      <c r="X103" s="1585"/>
      <c r="Y103" s="1585"/>
      <c r="Z103" s="1585"/>
      <c r="AA103" s="71"/>
      <c r="AB103" s="71"/>
      <c r="AC103" s="503" t="s">
        <v>42</v>
      </c>
      <c r="AD103" s="505" t="str">
        <f>AM114</f>
        <v>OK</v>
      </c>
      <c r="AE103" s="71"/>
      <c r="AF103" s="230"/>
      <c r="AG103" s="71"/>
      <c r="AH103" s="4"/>
      <c r="AI103" s="170"/>
      <c r="AJ103" s="1538" t="s">
        <v>268</v>
      </c>
      <c r="AK103" s="1539"/>
      <c r="AL103" s="1539"/>
      <c r="AM103" s="1540"/>
      <c r="AN103" s="170"/>
      <c r="AO103" s="367" t="s">
        <v>217</v>
      </c>
      <c r="AP103" s="1401" t="s">
        <v>232</v>
      </c>
      <c r="AQ103" s="1401"/>
      <c r="AR103" s="1401"/>
      <c r="AS103" s="369"/>
      <c r="AT103" s="1413" t="s">
        <v>218</v>
      </c>
      <c r="AU103" s="1413"/>
      <c r="AV103" s="1413"/>
      <c r="AW103" s="1413"/>
      <c r="AX103" s="318"/>
      <c r="AY103" s="416" t="s">
        <v>224</v>
      </c>
      <c r="AZ103" s="1448" t="s">
        <v>223</v>
      </c>
      <c r="BA103" s="1448"/>
      <c r="BB103" s="1449"/>
      <c r="BC103" s="318"/>
      <c r="BD103" s="1426" t="s">
        <v>261</v>
      </c>
      <c r="BE103" s="1427"/>
      <c r="BF103" s="1427"/>
      <c r="BG103" s="1427"/>
      <c r="BH103" s="12"/>
      <c r="BI103" s="437" t="s">
        <v>262</v>
      </c>
      <c r="BJ103" s="1438" t="s">
        <v>260</v>
      </c>
      <c r="BK103" s="1438"/>
      <c r="BL103" s="1438"/>
      <c r="BM103" s="12"/>
      <c r="BN103" s="12"/>
      <c r="BO103" s="143" t="s">
        <v>263</v>
      </c>
      <c r="BP103" s="12" t="s">
        <v>88</v>
      </c>
      <c r="BQ103" s="12"/>
      <c r="BR103" s="446"/>
      <c r="BS103" s="12"/>
      <c r="BT103" s="12"/>
      <c r="BU103" s="12"/>
      <c r="BV103" s="12"/>
      <c r="BW103" s="12"/>
      <c r="BX103" s="4"/>
      <c r="BY103" s="4"/>
      <c r="BZ103" s="4"/>
      <c r="CA103" s="4"/>
      <c r="CB103" s="4"/>
      <c r="CC103" s="4"/>
      <c r="CF103" s="586" t="s">
        <v>353</v>
      </c>
      <c r="CI103" s="13"/>
      <c r="CK103" s="1456"/>
      <c r="CL103" s="281" t="s">
        <v>185</v>
      </c>
      <c r="CM103" s="286">
        <f t="shared" ref="CM103:CM112" si="66">ROUND(CM15*$CN$102,0)</f>
        <v>0</v>
      </c>
      <c r="CN103" s="301" t="s">
        <v>207</v>
      </c>
      <c r="CO103" s="286">
        <f>IF($CN$114=0,0,IF($CN$114&gt;=10,1,IF($CN$114&lt;=-10,-1,0)))</f>
        <v>0</v>
      </c>
      <c r="CP103" s="286">
        <f t="shared" ref="CP103:CP109" si="67">CM103+CO103</f>
        <v>0</v>
      </c>
    </row>
    <row r="104" spans="1:94" ht="18" customHeight="1">
      <c r="A104" s="194" t="s">
        <v>127</v>
      </c>
      <c r="B104" s="1396">
        <f>B15</f>
        <v>1</v>
      </c>
      <c r="C104" s="1396"/>
      <c r="D104" s="1396"/>
      <c r="E104" s="196" t="s">
        <v>11</v>
      </c>
      <c r="F104" s="1398" t="s">
        <v>57</v>
      </c>
      <c r="G104" s="1398"/>
      <c r="H104" s="1399"/>
      <c r="I104" s="1380">
        <f>IF(I15=1,1,0)</f>
        <v>0</v>
      </c>
      <c r="J104" s="1381"/>
      <c r="K104" s="1515">
        <f>IF(H109=0,0,IF(K97=0, "加入月が未入力です!！",IF($L$176=$A$176,"限度超過額に達しているため計算不可能!!",IF(U106-U105=U107,"エラー名前を入力されているが加入月未入力!！",IF(H109&gt;K106,"加入月未入力エラー!！",0)))))</f>
        <v>0</v>
      </c>
      <c r="L104" s="1516"/>
      <c r="M104" s="1516"/>
      <c r="N104" s="1516"/>
      <c r="O104" s="1516"/>
      <c r="P104" s="1516"/>
      <c r="Q104" s="1516"/>
      <c r="R104" s="1516"/>
      <c r="S104" s="1517"/>
      <c r="T104" s="195" t="s">
        <v>47</v>
      </c>
      <c r="U104" s="1417" t="str">
        <f>IF(U109&gt;0,"支援分",0)</f>
        <v>支援分</v>
      </c>
      <c r="V104" s="1418"/>
      <c r="W104" s="1419" t="s">
        <v>46</v>
      </c>
      <c r="X104" s="1278"/>
      <c r="Y104" s="1278"/>
      <c r="Z104" s="1279"/>
      <c r="AA104" s="73"/>
      <c r="AB104" s="73"/>
      <c r="AC104" s="504" t="s">
        <v>117</v>
      </c>
      <c r="AD104" s="501" t="str">
        <f>AM115</f>
        <v>OK</v>
      </c>
      <c r="AE104" s="73"/>
      <c r="AF104" s="236" t="s">
        <v>117</v>
      </c>
      <c r="AG104" s="73"/>
      <c r="AH104" s="274">
        <f>IF(K106=0,0,IF(K106&lt;12,1,0))</f>
        <v>0</v>
      </c>
      <c r="AI104" s="175"/>
      <c r="AJ104" s="1541"/>
      <c r="AK104" s="1542"/>
      <c r="AL104" s="1542"/>
      <c r="AM104" s="1543"/>
      <c r="AN104" s="366" t="s">
        <v>51</v>
      </c>
      <c r="AO104" s="1319" t="s">
        <v>220</v>
      </c>
      <c r="AP104" s="1402"/>
      <c r="AQ104" s="1403">
        <f>IF(AR20=0,0,ROUNDDOWN(AR110/(AW21+AR110),8))</f>
        <v>0.25700933999999998</v>
      </c>
      <c r="AR104" s="1404"/>
      <c r="AS104" s="370"/>
      <c r="AT104" s="1319" t="s">
        <v>213</v>
      </c>
      <c r="AU104" s="1402"/>
      <c r="AV104" s="1411">
        <f>IF($AG$2&gt;0,0,AR110-AR109)</f>
        <v>-3</v>
      </c>
      <c r="AW104" s="1412"/>
      <c r="AX104" s="318"/>
      <c r="AY104" s="1408" t="s">
        <v>46</v>
      </c>
      <c r="AZ104" s="1402"/>
      <c r="BA104" s="1450">
        <f>IF(R106+R109=0,0,IF(K107&gt;K106,"期割がアンマッチ使用禁止↓",0))</f>
        <v>0</v>
      </c>
      <c r="BB104" s="1451"/>
      <c r="BC104" s="318"/>
      <c r="BD104" s="1435" t="s">
        <v>46</v>
      </c>
      <c r="BE104" s="1434"/>
      <c r="BF104" s="1436" t="s">
        <v>128</v>
      </c>
      <c r="BG104" s="1437"/>
      <c r="BH104" s="12"/>
      <c r="BI104" s="1253" t="s">
        <v>89</v>
      </c>
      <c r="BJ104" s="1434"/>
      <c r="BK104" s="438"/>
      <c r="BL104" s="439"/>
      <c r="BM104" s="12"/>
      <c r="BN104" s="1253" t="s">
        <v>46</v>
      </c>
      <c r="BO104" s="1434"/>
      <c r="BP104" s="1431"/>
      <c r="BQ104" s="1433"/>
      <c r="BR104" s="446"/>
      <c r="BS104" s="12"/>
      <c r="BT104" s="12"/>
      <c r="BU104" s="74"/>
      <c r="BV104" s="74"/>
      <c r="BW104" s="12"/>
      <c r="BX104" s="4"/>
      <c r="BY104" s="4"/>
      <c r="BZ104" s="4"/>
      <c r="CA104" s="4"/>
      <c r="CB104" s="4"/>
      <c r="CC104" s="4"/>
      <c r="CD104" s="4"/>
      <c r="CE104" s="4"/>
      <c r="CF104" s="583">
        <v>1</v>
      </c>
      <c r="CG104" s="583">
        <f>ROUNDDOWN($CE$99/12*CF104,-2)</f>
        <v>21600</v>
      </c>
      <c r="CH104" s="4"/>
      <c r="CI104" s="13"/>
      <c r="CK104" s="1456"/>
      <c r="CL104" s="281" t="s">
        <v>186</v>
      </c>
      <c r="CM104" s="286">
        <f t="shared" si="66"/>
        <v>0</v>
      </c>
      <c r="CN104" s="302" t="s">
        <v>182</v>
      </c>
      <c r="CO104" s="286">
        <f>IF($CN$114=0,0,IF($CN$114&gt;=9,1,IF($CN$114&lt;=-9,-1,0)))</f>
        <v>0</v>
      </c>
      <c r="CP104" s="286">
        <f t="shared" si="67"/>
        <v>0</v>
      </c>
    </row>
    <row r="105" spans="1:94" ht="18" customHeight="1">
      <c r="A105" s="165"/>
      <c r="B105" s="12"/>
      <c r="C105" s="75" t="s">
        <v>33</v>
      </c>
      <c r="D105" s="12"/>
      <c r="E105" s="12"/>
      <c r="F105" s="1394" t="s">
        <v>433</v>
      </c>
      <c r="G105" s="1394"/>
      <c r="H105" s="1394"/>
      <c r="I105" s="1380">
        <f>IF(I16=1,1,0)</f>
        <v>0</v>
      </c>
      <c r="J105" s="1381"/>
      <c r="K105" s="76" t="s">
        <v>9</v>
      </c>
      <c r="L105" s="12"/>
      <c r="M105" s="1551"/>
      <c r="N105" s="1551"/>
      <c r="O105" s="1551"/>
      <c r="P105" s="1551"/>
      <c r="Q105" s="1551"/>
      <c r="R105" s="1551"/>
      <c r="S105" s="1552"/>
      <c r="T105" s="77" t="s">
        <v>30</v>
      </c>
      <c r="U105" s="78">
        <f>R106+R109</f>
        <v>2750</v>
      </c>
      <c r="V105" s="79" t="s">
        <v>6</v>
      </c>
      <c r="W105" s="80" t="s">
        <v>34</v>
      </c>
      <c r="X105" s="29">
        <f>IF($AH$13&gt;0,0,IF($AG$2&gt;0,"限度超過",X94-(X115+X125+X135+X145+X155+X165)))</f>
        <v>643</v>
      </c>
      <c r="Y105" s="80" t="s">
        <v>39</v>
      </c>
      <c r="Z105" s="31">
        <f>IF($AH$13&gt;0,0,IF($AG$2&gt;0,"限度超過",Z94-(Z115+Z125+Z135+Z145+Z155+Z165)))</f>
        <v>540</v>
      </c>
      <c r="AA105" s="26"/>
      <c r="AB105" s="26"/>
      <c r="AC105" s="491"/>
      <c r="AD105" s="26"/>
      <c r="AE105" s="486"/>
      <c r="AF105" s="217">
        <f>AF106+AF109+AF112</f>
        <v>2750</v>
      </c>
      <c r="AG105" s="26"/>
      <c r="AH105" s="26"/>
      <c r="AI105" s="173"/>
      <c r="AJ105" s="22" t="s">
        <v>34</v>
      </c>
      <c r="AK105" s="23">
        <f t="shared" ref="AK105:AK110" si="68">IF($AG$2&gt;0,0,X105+X115+X125+X135+X145+X155+X165)</f>
        <v>643</v>
      </c>
      <c r="AL105" s="473" t="s">
        <v>39</v>
      </c>
      <c r="AM105" s="474">
        <f>IF($AG$2&gt;0,0,Z105+Z115+Z125+Z135+Z145+Z155+Z165)</f>
        <v>540</v>
      </c>
      <c r="AN105" s="174"/>
      <c r="AO105" s="126" t="s">
        <v>34</v>
      </c>
      <c r="AP105" s="344">
        <f>ROUND((AP16-AP193-AP282)*AQ104,0)</f>
        <v>643</v>
      </c>
      <c r="AQ105" s="351" t="s">
        <v>39</v>
      </c>
      <c r="AR105" s="345">
        <f>ROUND((AR16-AR193-AR282)*AQ104,0)</f>
        <v>540</v>
      </c>
      <c r="AS105" s="371"/>
      <c r="AT105" s="126" t="s">
        <v>34</v>
      </c>
      <c r="AU105" s="344">
        <f>IF(AV104=0,0,IF(AV104&gt;=10,1,IF(AV104&lt;=-10,-1,0)))</f>
        <v>0</v>
      </c>
      <c r="AV105" s="351" t="s">
        <v>39</v>
      </c>
      <c r="AW105" s="345">
        <f>IF(AV104=0,0,IF(AV104&gt;=4,1,IF(AV104&lt;=-4,-1,0)))</f>
        <v>0</v>
      </c>
      <c r="AX105" s="318"/>
      <c r="AY105" s="258" t="s">
        <v>34</v>
      </c>
      <c r="AZ105" s="372">
        <f>IF($AG$2&gt;0,"限度超過",IF($A$176=$L$176,"限度超過",AP105+AU105))</f>
        <v>643</v>
      </c>
      <c r="BA105" s="319" t="s">
        <v>39</v>
      </c>
      <c r="BB105" s="127">
        <f>IF($AG$2&gt;0,"限度超過",IF($A$176=$L$176,"限度超過",AR105+AW105))</f>
        <v>540</v>
      </c>
      <c r="BC105" s="318"/>
      <c r="BD105" s="447" t="s">
        <v>34</v>
      </c>
      <c r="BE105" s="81">
        <f t="shared" ref="BE105:BE110" si="69">IF($A$176=$L$176,"限度超過",X94-(AZ105+AZ115+AZ125+AZ135+AZ145+AZ155+AZ165))</f>
        <v>0</v>
      </c>
      <c r="BF105" s="80" t="s">
        <v>39</v>
      </c>
      <c r="BG105" s="29">
        <f>IF($A$176=$L$176,"限度超過",Z94-(BB105+BB115+BB125+BB135+BB145+BB155+BB165))</f>
        <v>0</v>
      </c>
      <c r="BH105" s="12"/>
      <c r="BI105" s="80" t="s">
        <v>34</v>
      </c>
      <c r="BJ105" s="29">
        <f t="shared" ref="BJ105:BJ110" si="70">IF($A$176=$L$176,"限度超過",IF(BE105=0,0,BE105/$S$94))</f>
        <v>0</v>
      </c>
      <c r="BK105" s="80" t="s">
        <v>39</v>
      </c>
      <c r="BL105" s="29">
        <f>IF($A$176=$L$176,"限度超過",IF(BG105=0,0,BG105/$S$94))</f>
        <v>0</v>
      </c>
      <c r="BM105" s="12"/>
      <c r="BN105" s="80" t="s">
        <v>34</v>
      </c>
      <c r="BO105" s="29">
        <f t="shared" ref="BO105:BO110" si="71">IF($A$176=$L$176,"限度超過",IF($S$94&lt;=1,BE105,BE105-(BO115+BO125+BO135+BO145+BO155+BO165)))</f>
        <v>0</v>
      </c>
      <c r="BP105" s="80" t="s">
        <v>39</v>
      </c>
      <c r="BQ105" s="29">
        <f>IF($A$176=$L$176,"限度超過",IF($S$94&lt;=1,BG105,BG105-(BQ115+BQ125+BQ135+BQ145+BQ155+BQ165)))</f>
        <v>0</v>
      </c>
      <c r="BR105" s="446"/>
      <c r="BS105" s="12"/>
      <c r="BT105" s="12"/>
      <c r="BU105" s="83"/>
      <c r="BV105" s="83"/>
      <c r="BW105" s="12"/>
      <c r="BX105" s="32"/>
      <c r="BY105" s="33" t="str">
        <f>CE95</f>
        <v>料率</v>
      </c>
      <c r="BZ105" s="33">
        <f>CF95</f>
        <v>7</v>
      </c>
      <c r="CA105" s="33">
        <f>CG95</f>
        <v>5</v>
      </c>
      <c r="CB105" s="33">
        <f>CH95</f>
        <v>2</v>
      </c>
      <c r="CC105" s="576" t="s">
        <v>341</v>
      </c>
      <c r="CD105" s="4"/>
      <c r="CE105" s="74"/>
      <c r="CF105" s="585">
        <v>2</v>
      </c>
      <c r="CG105" s="583">
        <f t="shared" ref="CG105:CG115" si="72">ROUNDDOWN($CE$99/12*CF105,-2)</f>
        <v>43300</v>
      </c>
      <c r="CH105" s="84"/>
      <c r="CI105" s="13"/>
      <c r="CK105" s="1456"/>
      <c r="CL105" s="281" t="s">
        <v>187</v>
      </c>
      <c r="CM105" s="286">
        <f t="shared" si="66"/>
        <v>0</v>
      </c>
      <c r="CN105" s="289" t="s">
        <v>201</v>
      </c>
      <c r="CO105" s="286">
        <f>IF($CN$114=0,0,IF($CN$114&gt;=8,1,IF($CN$114&lt;=-8,-1,0)))</f>
        <v>0</v>
      </c>
      <c r="CP105" s="286">
        <f t="shared" si="67"/>
        <v>0</v>
      </c>
    </row>
    <row r="106" spans="1:94" ht="18" customHeight="1">
      <c r="A106" s="1378" t="s">
        <v>0</v>
      </c>
      <c r="B106" s="1556" t="s">
        <v>129</v>
      </c>
      <c r="C106" s="1382">
        <f>C17</f>
        <v>0</v>
      </c>
      <c r="D106" s="1010" t="s">
        <v>58</v>
      </c>
      <c r="E106" s="1389">
        <f>IF(H109&gt;0,$CE$100, 0)</f>
        <v>430000</v>
      </c>
      <c r="F106" s="1395" t="s">
        <v>22</v>
      </c>
      <c r="G106" s="1010" t="s">
        <v>59</v>
      </c>
      <c r="H106" s="85">
        <f>IF(H109&gt;0,$CE$96,0)</f>
        <v>2.96</v>
      </c>
      <c r="I106" s="1385" t="s">
        <v>22</v>
      </c>
      <c r="J106" s="1010" t="s">
        <v>59</v>
      </c>
      <c r="K106" s="51">
        <f>K17</f>
        <v>12</v>
      </c>
      <c r="L106" s="52" t="s">
        <v>5</v>
      </c>
      <c r="M106" s="1395"/>
      <c r="N106" s="1527"/>
      <c r="O106" s="86"/>
      <c r="P106" s="1392" t="s">
        <v>130</v>
      </c>
      <c r="Q106" s="1392"/>
      <c r="R106" s="1391">
        <f>ROUNDDOWN(IF(((C106-E106)*H106/H107)*K106/K107&lt;0,0,((C106-E106)*H106/H107)*K106/K107),0)</f>
        <v>0</v>
      </c>
      <c r="S106" s="1520" t="s">
        <v>6</v>
      </c>
      <c r="T106" s="72" t="s">
        <v>1</v>
      </c>
      <c r="U106" s="105">
        <f>T99-(U116+U126+U136+U146+U156+U166)</f>
        <v>2790</v>
      </c>
      <c r="V106" s="88" t="s">
        <v>6</v>
      </c>
      <c r="W106" s="30" t="s">
        <v>35</v>
      </c>
      <c r="X106" s="29">
        <f t="shared" ref="X106:X110" si="73">IF($AH$13&gt;0,0,IF($AG$2&gt;0,"限度超過",X95-(X116+X126+X136+X146+X156+X166)))</f>
        <v>540</v>
      </c>
      <c r="Y106" s="30" t="s">
        <v>40</v>
      </c>
      <c r="Z106" s="31">
        <f>IF($AH$13&gt;0,0,IF($AG$2&gt;0,"限度超過",Z95-(Z116+Z126+Z136+Z146+Z156+Z166)))</f>
        <v>539</v>
      </c>
      <c r="AA106" s="26"/>
      <c r="AB106" s="26"/>
      <c r="AC106" s="491"/>
      <c r="AD106" s="26"/>
      <c r="AE106" s="486"/>
      <c r="AF106" s="1423">
        <f>ROUNDDOWN(IF(((C106-E106)*H106/H107)&lt;0,0,((C106-E106)*H106/H107)),0)</f>
        <v>0</v>
      </c>
      <c r="AG106" s="26"/>
      <c r="AH106" s="26"/>
      <c r="AI106" s="173"/>
      <c r="AJ106" s="28" t="s">
        <v>35</v>
      </c>
      <c r="AK106" s="29">
        <f t="shared" si="68"/>
        <v>540</v>
      </c>
      <c r="AL106" s="475" t="s">
        <v>40</v>
      </c>
      <c r="AM106" s="476">
        <f>IF($AG$2&gt;0,0,Z106+Z116+Z126+Z136+Z146+Z156+Z166)</f>
        <v>539</v>
      </c>
      <c r="AN106" s="175"/>
      <c r="AO106" s="126" t="s">
        <v>35</v>
      </c>
      <c r="AP106" s="344">
        <f>ROUND((AP17-AP194-AP283)*AQ104,0)</f>
        <v>540</v>
      </c>
      <c r="AQ106" s="351" t="s">
        <v>40</v>
      </c>
      <c r="AR106" s="345">
        <f>ROUND((AR17-AR194-AR283)*AQ104,0)</f>
        <v>540</v>
      </c>
      <c r="AS106" s="371"/>
      <c r="AT106" s="126" t="s">
        <v>35</v>
      </c>
      <c r="AU106" s="344">
        <f>IF(AV104=0,0,IF(AV104&gt;=9,1,IF(AV104&lt;=-9,-1,0)))</f>
        <v>0</v>
      </c>
      <c r="AV106" s="351" t="s">
        <v>40</v>
      </c>
      <c r="AW106" s="345">
        <f>IF(AV104=0,0,IF(AV104&gt;=3,1,IF(AV104&lt;=-3,-1,0)))</f>
        <v>-1</v>
      </c>
      <c r="AX106" s="318"/>
      <c r="AY106" s="262" t="s">
        <v>35</v>
      </c>
      <c r="AZ106" s="372">
        <f t="shared" ref="AZ106:BB110" si="74">IF($AG$2&gt;0,"限度超過",IF($A$176=$L$176,"限度超過",AP106+AU106))</f>
        <v>540</v>
      </c>
      <c r="BA106" s="319" t="s">
        <v>40</v>
      </c>
      <c r="BB106" s="127">
        <f t="shared" si="74"/>
        <v>539</v>
      </c>
      <c r="BC106" s="318"/>
      <c r="BD106" s="448" t="s">
        <v>35</v>
      </c>
      <c r="BE106" s="81">
        <f t="shared" si="69"/>
        <v>0</v>
      </c>
      <c r="BF106" s="30" t="s">
        <v>40</v>
      </c>
      <c r="BG106" s="29">
        <f>IF($A$176=$L$176,"限度超過",Z95-(BB106+BB116+BB126+BB136+BB146+BB156+BB166))</f>
        <v>0</v>
      </c>
      <c r="BH106" s="12"/>
      <c r="BI106" s="30" t="s">
        <v>35</v>
      </c>
      <c r="BJ106" s="29">
        <f t="shared" si="70"/>
        <v>0</v>
      </c>
      <c r="BK106" s="30" t="s">
        <v>40</v>
      </c>
      <c r="BL106" s="29">
        <f>IF($A$176=$L$176,"限度超過",IF(BG106=0,0,BG106/$S$94))</f>
        <v>0</v>
      </c>
      <c r="BM106" s="12"/>
      <c r="BN106" s="30" t="s">
        <v>35</v>
      </c>
      <c r="BO106" s="29">
        <f t="shared" si="71"/>
        <v>0</v>
      </c>
      <c r="BP106" s="30" t="s">
        <v>40</v>
      </c>
      <c r="BQ106" s="29">
        <f>IF($A$176=$L$176,"限度超過",IF($S$94&lt;=1,BG106,BG106-(BQ116+BQ126+BQ136+BQ146+BQ156+BQ166)))</f>
        <v>0</v>
      </c>
      <c r="BR106" s="446"/>
      <c r="BS106" s="12"/>
      <c r="BT106" s="12"/>
      <c r="BU106" s="83"/>
      <c r="BV106" s="83"/>
      <c r="BW106" s="12"/>
      <c r="BX106" s="32" t="s">
        <v>17</v>
      </c>
      <c r="BY106" s="44">
        <v>0</v>
      </c>
      <c r="BZ106" s="45">
        <f>$CF$97</f>
        <v>6440</v>
      </c>
      <c r="CA106" s="45">
        <f>$CG$97</f>
        <v>4600</v>
      </c>
      <c r="CB106" s="45">
        <f>$CH$97</f>
        <v>1840</v>
      </c>
      <c r="CC106" s="576"/>
      <c r="CD106" s="4"/>
      <c r="CE106" s="89"/>
      <c r="CF106" s="583">
        <v>3</v>
      </c>
      <c r="CG106" s="583">
        <f t="shared" si="72"/>
        <v>65000</v>
      </c>
      <c r="CH106" s="4"/>
      <c r="CI106" s="13"/>
      <c r="CK106" s="1456"/>
      <c r="CL106" s="281" t="s">
        <v>188</v>
      </c>
      <c r="CM106" s="286">
        <f t="shared" si="66"/>
        <v>0</v>
      </c>
      <c r="CN106" s="289"/>
      <c r="CO106" s="286">
        <f>IF($CN$114=0,0,IF($CN$114&gt;=7,1,IF($CN$114&lt;=-7,-1,0)))</f>
        <v>0</v>
      </c>
      <c r="CP106" s="286">
        <f t="shared" si="67"/>
        <v>0</v>
      </c>
    </row>
    <row r="107" spans="1:94" ht="18" customHeight="1">
      <c r="A107" s="1378"/>
      <c r="B107" s="1556"/>
      <c r="C107" s="1382"/>
      <c r="D107" s="1010"/>
      <c r="E107" s="1389"/>
      <c r="F107" s="1395"/>
      <c r="G107" s="1010"/>
      <c r="H107" s="39">
        <v>100</v>
      </c>
      <c r="I107" s="1385"/>
      <c r="J107" s="1010"/>
      <c r="K107" s="55">
        <v>12</v>
      </c>
      <c r="L107" s="12" t="s">
        <v>5</v>
      </c>
      <c r="M107" s="1395"/>
      <c r="N107" s="1527"/>
      <c r="O107" s="86"/>
      <c r="P107" s="1392"/>
      <c r="Q107" s="1392"/>
      <c r="R107" s="1391"/>
      <c r="S107" s="1520"/>
      <c r="T107" s="72" t="s">
        <v>29</v>
      </c>
      <c r="U107" s="87">
        <f>U105+U106</f>
        <v>5540</v>
      </c>
      <c r="V107" s="88" t="s">
        <v>6</v>
      </c>
      <c r="W107" s="30" t="s">
        <v>36</v>
      </c>
      <c r="X107" s="29">
        <f t="shared" si="73"/>
        <v>540</v>
      </c>
      <c r="Y107" s="30" t="s">
        <v>41</v>
      </c>
      <c r="Z107" s="31">
        <f>IF($AH$13&gt;0,0,IF($AG$2&gt;0,"限度超過",Z96-(Z117+Z127+Z137+Z147+Z157+Z167)))</f>
        <v>539</v>
      </c>
      <c r="AA107" s="26"/>
      <c r="AB107" s="26"/>
      <c r="AC107" s="491"/>
      <c r="AD107" s="26"/>
      <c r="AE107" s="486"/>
      <c r="AF107" s="1424"/>
      <c r="AG107" s="26"/>
      <c r="AH107" s="26"/>
      <c r="AI107" s="173"/>
      <c r="AJ107" s="28" t="s">
        <v>36</v>
      </c>
      <c r="AK107" s="29">
        <f t="shared" si="68"/>
        <v>540</v>
      </c>
      <c r="AL107" s="475" t="s">
        <v>41</v>
      </c>
      <c r="AM107" s="476">
        <f>IF($AG$2&gt;0,0,Z107+Z117+Z127+Z137+Z147+Z157+Z167)</f>
        <v>539</v>
      </c>
      <c r="AN107" s="173"/>
      <c r="AO107" s="126" t="s">
        <v>36</v>
      </c>
      <c r="AP107" s="344">
        <f>ROUND((AP18-AP195-AP284)*AQ104,0)</f>
        <v>540</v>
      </c>
      <c r="AQ107" s="351" t="s">
        <v>41</v>
      </c>
      <c r="AR107" s="345">
        <f>ROUND((AR18-AR195-AR284)*AQ104,0)</f>
        <v>540</v>
      </c>
      <c r="AS107" s="350"/>
      <c r="AT107" s="126" t="s">
        <v>36</v>
      </c>
      <c r="AU107" s="344">
        <f>IF(AV104=0,0,IF(AV104&gt;=8,1,IF(AV104&lt;=-8,-1,0)))</f>
        <v>0</v>
      </c>
      <c r="AV107" s="351" t="s">
        <v>41</v>
      </c>
      <c r="AW107" s="345">
        <f>IF(AV104=0,0,IF(AV104&gt;=2,1,IF(AV104&lt;=-2,-1,0)))</f>
        <v>-1</v>
      </c>
      <c r="AX107" s="318"/>
      <c r="AY107" s="262" t="s">
        <v>36</v>
      </c>
      <c r="AZ107" s="372">
        <f t="shared" si="74"/>
        <v>540</v>
      </c>
      <c r="BA107" s="319" t="s">
        <v>41</v>
      </c>
      <c r="BB107" s="127">
        <f t="shared" si="74"/>
        <v>539</v>
      </c>
      <c r="BC107" s="318"/>
      <c r="BD107" s="448" t="s">
        <v>36</v>
      </c>
      <c r="BE107" s="81">
        <f t="shared" si="69"/>
        <v>0</v>
      </c>
      <c r="BF107" s="30" t="s">
        <v>41</v>
      </c>
      <c r="BG107" s="29">
        <f>IF($A$176=$L$176,"限度超過",Z96-(BB107+BB117+BB127+BB137+BB147+BB157+BB167))</f>
        <v>0</v>
      </c>
      <c r="BH107" s="12"/>
      <c r="BI107" s="30" t="s">
        <v>36</v>
      </c>
      <c r="BJ107" s="29">
        <f t="shared" si="70"/>
        <v>0</v>
      </c>
      <c r="BK107" s="30" t="s">
        <v>41</v>
      </c>
      <c r="BL107" s="29">
        <f>IF($A$176=$L$176,"限度超過",IF(BG107=0,0,BG107/$S$94))</f>
        <v>0</v>
      </c>
      <c r="BM107" s="12"/>
      <c r="BN107" s="30" t="s">
        <v>36</v>
      </c>
      <c r="BO107" s="29">
        <f t="shared" si="71"/>
        <v>0</v>
      </c>
      <c r="BP107" s="30" t="s">
        <v>41</v>
      </c>
      <c r="BQ107" s="29">
        <f>IF($A$176=$L$176,"限度超過",IF($S$94&lt;=1,BG107,BG107-(BQ117+BQ127+BQ137+BQ147+BQ157+BQ167)))</f>
        <v>0</v>
      </c>
      <c r="BR107" s="446"/>
      <c r="BS107" s="12"/>
      <c r="BT107" s="12"/>
      <c r="BU107" s="83"/>
      <c r="BV107" s="83"/>
      <c r="BW107" s="12"/>
      <c r="BX107" s="32" t="s">
        <v>8</v>
      </c>
      <c r="BY107" s="45">
        <f>K109</f>
        <v>12</v>
      </c>
      <c r="BZ107" s="45">
        <f t="shared" ref="BZ107:CB109" si="75">BY107</f>
        <v>12</v>
      </c>
      <c r="CA107" s="45">
        <f t="shared" si="75"/>
        <v>12</v>
      </c>
      <c r="CB107" s="45">
        <f t="shared" si="75"/>
        <v>12</v>
      </c>
      <c r="CC107" s="576">
        <f>CB107</f>
        <v>12</v>
      </c>
      <c r="CD107" s="4"/>
      <c r="CE107" s="90"/>
      <c r="CF107" s="584">
        <v>4</v>
      </c>
      <c r="CG107" s="583">
        <f t="shared" si="72"/>
        <v>86600</v>
      </c>
      <c r="CH107" s="26"/>
      <c r="CI107" s="13"/>
      <c r="CK107" s="278"/>
      <c r="CL107" s="281" t="s">
        <v>189</v>
      </c>
      <c r="CM107" s="286">
        <f t="shared" si="66"/>
        <v>0</v>
      </c>
      <c r="CN107" s="289"/>
      <c r="CO107" s="286">
        <f>IF($CN$114=0,0,IF($CN$114&gt;=6,1,IF($CN$114&lt;=-6,-1,0)))</f>
        <v>0</v>
      </c>
      <c r="CP107" s="286">
        <f t="shared" si="67"/>
        <v>0</v>
      </c>
    </row>
    <row r="108" spans="1:94" ht="18" customHeight="1">
      <c r="A108" s="165"/>
      <c r="B108" s="12"/>
      <c r="C108" s="50"/>
      <c r="D108" s="12"/>
      <c r="E108" s="12"/>
      <c r="F108" s="12"/>
      <c r="G108" s="12"/>
      <c r="H108" s="91"/>
      <c r="I108" s="75"/>
      <c r="J108" s="75"/>
      <c r="K108" s="92"/>
      <c r="L108" s="75"/>
      <c r="M108" s="93"/>
      <c r="N108" s="578">
        <f>IF(入力画面!E12=1,"未就学児",0)</f>
        <v>0</v>
      </c>
      <c r="O108" s="42">
        <f>IF(H109=0,0,$D$94)</f>
        <v>7</v>
      </c>
      <c r="P108" s="463" t="str">
        <f>IF(O109=0,0,"軽減額")</f>
        <v>軽減額</v>
      </c>
      <c r="Q108" s="12"/>
      <c r="R108" s="95"/>
      <c r="S108" s="49"/>
      <c r="T108" s="96" t="s">
        <v>31</v>
      </c>
      <c r="U108" s="87">
        <f>ROUNDDOWN(U107,-2)</f>
        <v>5500</v>
      </c>
      <c r="V108" s="88" t="s">
        <v>6</v>
      </c>
      <c r="W108" s="30" t="s">
        <v>43</v>
      </c>
      <c r="X108" s="29">
        <f t="shared" si="73"/>
        <v>540</v>
      </c>
      <c r="Y108" s="30" t="s">
        <v>42</v>
      </c>
      <c r="Z108" s="31">
        <f>IF($AH$13&gt;0,0,IF($AG$2&gt;0,"限度超過",Z97-(Z118+Z128+Z138+Z148+Z158+Z168)))</f>
        <v>539</v>
      </c>
      <c r="AA108" s="26"/>
      <c r="AB108" s="26"/>
      <c r="AC108" s="491"/>
      <c r="AD108" s="26"/>
      <c r="AE108" s="497" t="str">
        <f>IF($AH$13&gt;0,"－",IF($AG$2&gt;0,"限度超過",IF(U109=Z109,"OK","ｱﾝﾏｯﾁ")))</f>
        <v>OK</v>
      </c>
      <c r="AF108" s="496"/>
      <c r="AG108" s="26"/>
      <c r="AI108" s="173"/>
      <c r="AJ108" s="28" t="s">
        <v>43</v>
      </c>
      <c r="AK108" s="29">
        <f t="shared" si="68"/>
        <v>540</v>
      </c>
      <c r="AL108" s="475" t="s">
        <v>42</v>
      </c>
      <c r="AM108" s="476">
        <f>IF($AG$2&gt;0,0,Z108+Z118+Z128+Z138+Z148+Z158+Z168)</f>
        <v>539</v>
      </c>
      <c r="AN108" s="173"/>
      <c r="AO108" s="126" t="s">
        <v>43</v>
      </c>
      <c r="AP108" s="344">
        <f>ROUND((AP19-AP196-AP285)*AQ104,0)</f>
        <v>540</v>
      </c>
      <c r="AQ108" s="351" t="s">
        <v>42</v>
      </c>
      <c r="AR108" s="345">
        <f>ROUND((AR19-AR196-AR285)*AQ104,0)</f>
        <v>540</v>
      </c>
      <c r="AS108" s="350"/>
      <c r="AT108" s="126" t="s">
        <v>43</v>
      </c>
      <c r="AU108" s="344">
        <f>IF(AV104=0,0,IF(AV104&gt;=7,1,IF(AV104&lt;=-7,-1,0)))</f>
        <v>0</v>
      </c>
      <c r="AV108" s="351" t="s">
        <v>42</v>
      </c>
      <c r="AW108" s="345">
        <f>IF(AV104=0,0,IF(AV104&gt;=1,1,IF(AV104&lt;=-1,-1,0)))</f>
        <v>-1</v>
      </c>
      <c r="AX108" s="318"/>
      <c r="AY108" s="262" t="s">
        <v>43</v>
      </c>
      <c r="AZ108" s="372">
        <f t="shared" si="74"/>
        <v>540</v>
      </c>
      <c r="BA108" s="319" t="s">
        <v>42</v>
      </c>
      <c r="BB108" s="127">
        <f t="shared" si="74"/>
        <v>539</v>
      </c>
      <c r="BC108" s="318"/>
      <c r="BD108" s="448" t="s">
        <v>43</v>
      </c>
      <c r="BE108" s="81">
        <f t="shared" si="69"/>
        <v>0</v>
      </c>
      <c r="BF108" s="30" t="s">
        <v>42</v>
      </c>
      <c r="BG108" s="29">
        <f>IF($A$176=$L$176,"限度超過",Z97-(BB108+BB118+BB128+BB138+BB148+BB158+BB168))</f>
        <v>0</v>
      </c>
      <c r="BH108" s="12"/>
      <c r="BI108" s="30" t="s">
        <v>43</v>
      </c>
      <c r="BJ108" s="29">
        <f t="shared" si="70"/>
        <v>0</v>
      </c>
      <c r="BK108" s="30" t="s">
        <v>42</v>
      </c>
      <c r="BL108" s="29">
        <f>IF($A$176=$L$176,"限度超過",IF(BG108=0,0,BG108/$S$94))</f>
        <v>0</v>
      </c>
      <c r="BM108" s="12"/>
      <c r="BN108" s="30" t="s">
        <v>43</v>
      </c>
      <c r="BO108" s="29">
        <f t="shared" si="71"/>
        <v>0</v>
      </c>
      <c r="BP108" s="30" t="s">
        <v>42</v>
      </c>
      <c r="BQ108" s="29">
        <f>IF($A$176=$L$176,"限度超過",IF($S$94&lt;=1,BG108,BG108-(BQ118+BQ128+BQ138+BQ148+BQ158+BQ168)))</f>
        <v>0</v>
      </c>
      <c r="BR108" s="446"/>
      <c r="BS108" s="12"/>
      <c r="BT108" s="12"/>
      <c r="BU108" s="83"/>
      <c r="BV108" s="83"/>
      <c r="BW108" s="12"/>
      <c r="BX108" s="32" t="s">
        <v>25</v>
      </c>
      <c r="BY108" s="45">
        <f>K110</f>
        <v>12</v>
      </c>
      <c r="BZ108" s="45">
        <f t="shared" si="75"/>
        <v>12</v>
      </c>
      <c r="CA108" s="45">
        <f t="shared" si="75"/>
        <v>12</v>
      </c>
      <c r="CB108" s="45">
        <f t="shared" si="75"/>
        <v>12</v>
      </c>
      <c r="CC108" s="576">
        <f>CB108</f>
        <v>12</v>
      </c>
      <c r="CD108" s="4"/>
      <c r="CE108" s="90"/>
      <c r="CF108" s="584">
        <v>5</v>
      </c>
      <c r="CG108" s="583">
        <f t="shared" si="72"/>
        <v>108300</v>
      </c>
      <c r="CH108" s="26"/>
      <c r="CI108" s="13"/>
      <c r="CK108" s="278"/>
      <c r="CL108" s="281" t="s">
        <v>190</v>
      </c>
      <c r="CM108" s="286">
        <f t="shared" si="66"/>
        <v>0</v>
      </c>
      <c r="CN108" s="289"/>
      <c r="CO108" s="286">
        <f>IF($CN$114=0,0,IF($CN$114&gt;=5,1,IF($CN$114&lt;=-5,-1,0)))</f>
        <v>0</v>
      </c>
      <c r="CP108" s="286">
        <f t="shared" si="67"/>
        <v>0</v>
      </c>
    </row>
    <row r="109" spans="1:94" ht="18" customHeight="1">
      <c r="A109" s="1378" t="s">
        <v>10</v>
      </c>
      <c r="B109" s="12"/>
      <c r="C109" s="12"/>
      <c r="D109" s="1379" t="s">
        <v>7</v>
      </c>
      <c r="E109" s="1389">
        <f>IF(H109&gt;0,$CE$97,0)</f>
        <v>9190</v>
      </c>
      <c r="F109" s="97"/>
      <c r="G109" s="1010" t="s">
        <v>59</v>
      </c>
      <c r="H109" s="1390">
        <f>IF(B104=0,0,SUBTOTAL(3,B104))</f>
        <v>1</v>
      </c>
      <c r="I109" s="1385" t="s">
        <v>22</v>
      </c>
      <c r="J109" s="1010" t="s">
        <v>59</v>
      </c>
      <c r="K109" s="51">
        <f>IF(H109&gt;0,K106,0)</f>
        <v>12</v>
      </c>
      <c r="L109" s="52" t="s">
        <v>5</v>
      </c>
      <c r="M109" s="1527" t="s">
        <v>122</v>
      </c>
      <c r="N109" s="1548" t="str">
        <f>IF(O109=0,0,"―")</f>
        <v>―</v>
      </c>
      <c r="O109" s="1525">
        <f>IF(H109=0,0,IF(BY111=0,IF($D$94=7,BZ110,IF($D$94=5,CA110,IF($D$94=2,CB110,CC110))),IF($D$94=7,BZ110+BZ111,IF($D$94=5,CA110+CA111,IF($D$94=2,CB110+CB111,CC110+CC111)))))</f>
        <v>6440</v>
      </c>
      <c r="P109" s="1526"/>
      <c r="Q109" s="1392" t="s">
        <v>130</v>
      </c>
      <c r="R109" s="1391">
        <f>IF(H109&gt;0,IF(K106=0,0,ROUNDDOWN(((E109*H109)*K109/K110)-O109,0)),0)</f>
        <v>2750</v>
      </c>
      <c r="S109" s="1520" t="s">
        <v>6</v>
      </c>
      <c r="T109" s="1321" t="s">
        <v>32</v>
      </c>
      <c r="U109" s="1323">
        <f>IF(L176=A176,"限度超過!",L176-U119-U129-U139-U149-U159-U169)</f>
        <v>5500</v>
      </c>
      <c r="V109" s="1509" t="s">
        <v>6</v>
      </c>
      <c r="W109" s="30" t="s">
        <v>37</v>
      </c>
      <c r="X109" s="29">
        <f t="shared" si="73"/>
        <v>540</v>
      </c>
      <c r="Y109" s="1313" t="s">
        <v>44</v>
      </c>
      <c r="Z109" s="1420">
        <f>IF($AH$13&gt;0,0,IF($AG$2&gt;0,"限度超過",Z98-(Z119+Z129+Z139+Z149+Z159+Z169)))</f>
        <v>5500</v>
      </c>
      <c r="AA109" s="26"/>
      <c r="AB109" s="26"/>
      <c r="AC109" s="491"/>
      <c r="AD109" s="26"/>
      <c r="AE109" s="497" t="str">
        <f>IF($AG$2&gt;0,"限度超過",IF(X105+X106+X107+X108+X109+X110+Z105+Z106+Z107+Z108=Z109,"OK","エラー"))</f>
        <v>OK</v>
      </c>
      <c r="AF109" s="1508">
        <f>IF(H109&gt;0,IF(K106=0,0,ROUNDDOWN((E109*H109)-O109,0)),0)</f>
        <v>2750</v>
      </c>
      <c r="AG109" s="26"/>
      <c r="AI109" s="173"/>
      <c r="AJ109" s="28" t="s">
        <v>37</v>
      </c>
      <c r="AK109" s="29">
        <f t="shared" si="68"/>
        <v>540</v>
      </c>
      <c r="AL109" s="1544" t="s">
        <v>44</v>
      </c>
      <c r="AM109" s="1567">
        <f>AK105+AK106+AK107+AK108+AK109+AK110+AM105+AM106+AM107+AM108</f>
        <v>5500</v>
      </c>
      <c r="AN109" s="173"/>
      <c r="AO109" s="126" t="s">
        <v>37</v>
      </c>
      <c r="AP109" s="344">
        <f>ROUND((AP20-AP197-AP286)*AQ104,0)</f>
        <v>540</v>
      </c>
      <c r="AQ109" s="352" t="s">
        <v>44</v>
      </c>
      <c r="AR109" s="346">
        <f>AP105+AP106+AP107+AP108+AP109+AP110+AR105+AR106+AR107+AR108</f>
        <v>5503</v>
      </c>
      <c r="AS109" s="350"/>
      <c r="AT109" s="126" t="s">
        <v>37</v>
      </c>
      <c r="AU109" s="344">
        <f>IF(AV104=0,0,IF(AV104&gt;=6,1,IF(AV104&lt;=-6,-1,0)))</f>
        <v>0</v>
      </c>
      <c r="AV109" s="352" t="s">
        <v>44</v>
      </c>
      <c r="AW109" s="353">
        <f>AU105+AU106+AU107+AU108+AU109+AU110+AW105+AW106+AW107+AW108</f>
        <v>-3</v>
      </c>
      <c r="AX109" s="318"/>
      <c r="AY109" s="262" t="s">
        <v>37</v>
      </c>
      <c r="AZ109" s="372">
        <f t="shared" si="74"/>
        <v>540</v>
      </c>
      <c r="BA109" s="320" t="s">
        <v>44</v>
      </c>
      <c r="BB109" s="417">
        <f>IF($AG$2&gt;0,"限度超過",AZ105+AZ106+AZ107+AZ108+AZ109+AZ110+BB105+BB106+BB107+BB108)</f>
        <v>5500</v>
      </c>
      <c r="BC109" s="318"/>
      <c r="BD109" s="448" t="s">
        <v>37</v>
      </c>
      <c r="BE109" s="81">
        <f t="shared" si="69"/>
        <v>0</v>
      </c>
      <c r="BF109" s="98" t="s">
        <v>44</v>
      </c>
      <c r="BG109" s="29">
        <f>IF($A$176=$L$176,"限度超過",BE105+BE106+BE107+BE108+BE109+BE110+BG105+BG106+BG107+BG108)</f>
        <v>0</v>
      </c>
      <c r="BH109" s="12"/>
      <c r="BI109" s="30" t="s">
        <v>37</v>
      </c>
      <c r="BJ109" s="29">
        <f t="shared" si="70"/>
        <v>0</v>
      </c>
      <c r="BK109" s="98" t="s">
        <v>44</v>
      </c>
      <c r="BL109" s="29">
        <f>IF($A$176=$L$176,"限度超過",BJ105+BJ106+BJ107+BJ108+BJ109+BJ110+BL105+BL106+BL107+BL108)</f>
        <v>0</v>
      </c>
      <c r="BM109" s="12"/>
      <c r="BN109" s="30" t="s">
        <v>37</v>
      </c>
      <c r="BO109" s="29">
        <f t="shared" si="71"/>
        <v>0</v>
      </c>
      <c r="BP109" s="98" t="s">
        <v>44</v>
      </c>
      <c r="BQ109" s="29">
        <f>IF($A$176=$L$176,"限度超過",BO105+BO106+BO107+BO108+BO109+BO110+BQ105+BQ106+BQ107+BQ108)</f>
        <v>0</v>
      </c>
      <c r="BR109" s="446"/>
      <c r="BS109" s="12"/>
      <c r="BT109" s="12"/>
      <c r="BU109" s="83"/>
      <c r="BV109" s="83"/>
      <c r="BW109" s="12"/>
      <c r="BX109" s="32" t="s">
        <v>26</v>
      </c>
      <c r="BY109" s="26">
        <f>H109</f>
        <v>1</v>
      </c>
      <c r="BZ109" s="99">
        <f t="shared" si="75"/>
        <v>1</v>
      </c>
      <c r="CA109" s="99">
        <f t="shared" si="75"/>
        <v>1</v>
      </c>
      <c r="CB109" s="99">
        <f t="shared" si="75"/>
        <v>1</v>
      </c>
      <c r="CC109" s="576">
        <f>CB109</f>
        <v>1</v>
      </c>
      <c r="CD109" s="4"/>
      <c r="CE109" s="90"/>
      <c r="CF109" s="583">
        <v>6</v>
      </c>
      <c r="CG109" s="583">
        <f t="shared" si="72"/>
        <v>130000</v>
      </c>
      <c r="CH109" s="4"/>
      <c r="CI109" s="13"/>
      <c r="CK109" s="278"/>
      <c r="CL109" s="281" t="s">
        <v>191</v>
      </c>
      <c r="CM109" s="286">
        <f t="shared" si="66"/>
        <v>0</v>
      </c>
      <c r="CN109" s="289"/>
      <c r="CO109" s="286">
        <f>IF($CN$114=0,0,IF($CN$114&gt;=4,1,IF($CN$114&lt;=-4,-1,0)))</f>
        <v>0</v>
      </c>
      <c r="CP109" s="286">
        <f t="shared" si="67"/>
        <v>0</v>
      </c>
    </row>
    <row r="110" spans="1:94" ht="18" customHeight="1">
      <c r="A110" s="1378"/>
      <c r="B110" s="12"/>
      <c r="C110" s="12"/>
      <c r="D110" s="1379"/>
      <c r="E110" s="1389"/>
      <c r="F110" s="12"/>
      <c r="G110" s="1010"/>
      <c r="H110" s="1390"/>
      <c r="I110" s="1385"/>
      <c r="J110" s="1010"/>
      <c r="K110" s="180">
        <f>IF(H109&gt;0,K107,0)</f>
        <v>12</v>
      </c>
      <c r="L110" s="12" t="s">
        <v>5</v>
      </c>
      <c r="M110" s="1527"/>
      <c r="N110" s="1548"/>
      <c r="O110" s="1526"/>
      <c r="P110" s="1526"/>
      <c r="Q110" s="1392"/>
      <c r="R110" s="1391"/>
      <c r="S110" s="1520"/>
      <c r="T110" s="1582"/>
      <c r="U110" s="1363"/>
      <c r="V110" s="1510"/>
      <c r="W110" s="30" t="s">
        <v>38</v>
      </c>
      <c r="X110" s="29">
        <f t="shared" si="73"/>
        <v>540</v>
      </c>
      <c r="Y110" s="1422"/>
      <c r="Z110" s="1421"/>
      <c r="AA110" s="4"/>
      <c r="AB110" s="4"/>
      <c r="AC110" s="489"/>
      <c r="AD110" s="4"/>
      <c r="AE110" s="74"/>
      <c r="AF110" s="1424"/>
      <c r="AG110" s="4"/>
      <c r="AH110" s="4"/>
      <c r="AI110" s="174"/>
      <c r="AJ110" s="65" t="s">
        <v>38</v>
      </c>
      <c r="AK110" s="66">
        <f t="shared" si="68"/>
        <v>540</v>
      </c>
      <c r="AL110" s="1545"/>
      <c r="AM110" s="1568"/>
      <c r="AN110" s="173"/>
      <c r="AO110" s="126" t="s">
        <v>38</v>
      </c>
      <c r="AP110" s="344">
        <f>ROUND((AP21-AP198-AP287)*AQ104,0)</f>
        <v>540</v>
      </c>
      <c r="AQ110" s="351" t="s">
        <v>75</v>
      </c>
      <c r="AR110" s="330">
        <f>IF($AG$2&gt;0,"限度超過",U109)</f>
        <v>5500</v>
      </c>
      <c r="AS110" s="347"/>
      <c r="AT110" s="126" t="s">
        <v>38</v>
      </c>
      <c r="AU110" s="344">
        <f>IF(AV104=0,0,IF(AV104&gt;=5,1,IF(AV104&lt;=-5,-1,0)))</f>
        <v>0</v>
      </c>
      <c r="AV110" s="351"/>
      <c r="AW110" s="354" t="str">
        <f>IF(AU105+AU106+AU107+AU108+AU109+AU110+AW105+AW106+AW107+AW108=AV104,"計算ＯＫ","エラー発生")</f>
        <v>計算ＯＫ</v>
      </c>
      <c r="AX110" s="318"/>
      <c r="AY110" s="262" t="s">
        <v>38</v>
      </c>
      <c r="AZ110" s="372">
        <f t="shared" si="74"/>
        <v>540</v>
      </c>
      <c r="BA110" s="319"/>
      <c r="BB110" s="418">
        <f>IF($AG$2&gt;0,"限度超過",IF($A$176=$L$176,"限度超過",$U$109))</f>
        <v>5500</v>
      </c>
      <c r="BC110" s="318"/>
      <c r="BD110" s="448" t="s">
        <v>38</v>
      </c>
      <c r="BE110" s="81">
        <f t="shared" si="69"/>
        <v>0</v>
      </c>
      <c r="BF110" s="30"/>
      <c r="BG110" s="100"/>
      <c r="BH110" s="12"/>
      <c r="BI110" s="30" t="s">
        <v>38</v>
      </c>
      <c r="BJ110" s="29">
        <f t="shared" si="70"/>
        <v>0</v>
      </c>
      <c r="BK110" s="30"/>
      <c r="BL110" s="100"/>
      <c r="BM110" s="12"/>
      <c r="BN110" s="30" t="s">
        <v>38</v>
      </c>
      <c r="BO110" s="29">
        <f t="shared" si="71"/>
        <v>0</v>
      </c>
      <c r="BP110" s="30"/>
      <c r="BQ110" s="100"/>
      <c r="BR110" s="446"/>
      <c r="BS110" s="12"/>
      <c r="BT110" s="12"/>
      <c r="BU110" s="4"/>
      <c r="BV110" s="4"/>
      <c r="BW110" s="12"/>
      <c r="BX110" s="67" t="s">
        <v>27</v>
      </c>
      <c r="BY110" s="45">
        <f>IF(BY109&gt;0,ROUNDDOWN(BY106*BY109*BY107/BY108,0),0)</f>
        <v>0</v>
      </c>
      <c r="BZ110" s="45">
        <f>IF(BZ109&gt;0,ROUNDDOWN(BZ106*BZ109*BZ107/BZ108,0),0)</f>
        <v>6440</v>
      </c>
      <c r="CA110" s="45">
        <f>IF(CA109&gt;0,ROUNDDOWN(CA106*CA109*CA107/CA108,0),0)</f>
        <v>4600</v>
      </c>
      <c r="CB110" s="45">
        <f>IF(CB109&gt;0,ROUNDDOWN(CB106*CB109*CB107/CB108,0),0)</f>
        <v>1840</v>
      </c>
      <c r="CC110" s="576">
        <v>0</v>
      </c>
      <c r="CD110" s="74"/>
      <c r="CE110" s="90"/>
      <c r="CF110" s="583">
        <v>7</v>
      </c>
      <c r="CG110" s="583">
        <f t="shared" si="72"/>
        <v>151600</v>
      </c>
      <c r="CH110" s="4"/>
      <c r="CI110" s="13"/>
      <c r="CK110" s="278"/>
      <c r="CL110" s="281" t="s">
        <v>192</v>
      </c>
      <c r="CM110" s="286">
        <f t="shared" si="66"/>
        <v>0</v>
      </c>
      <c r="CN110" s="289"/>
      <c r="CO110" s="286">
        <f>IF($CN$114=0,0,IF($CN$114&gt;=3,1,IF($CN$114&lt;=-3,-1,0)))</f>
        <v>0</v>
      </c>
      <c r="CP110" s="286">
        <f t="shared" ref="CP110:CP112" si="76">CM110+CO110</f>
        <v>0</v>
      </c>
    </row>
    <row r="111" spans="1:94" ht="18" customHeight="1">
      <c r="A111" s="200"/>
      <c r="B111" s="75" t="s">
        <v>118</v>
      </c>
      <c r="C111" s="12"/>
      <c r="D111" s="160"/>
      <c r="E111" s="161"/>
      <c r="F111" s="12"/>
      <c r="G111" s="50"/>
      <c r="H111" s="162"/>
      <c r="I111" s="159"/>
      <c r="J111" s="50"/>
      <c r="K111" s="1523" t="s">
        <v>271</v>
      </c>
      <c r="L111" s="1523"/>
      <c r="M111" s="1523"/>
      <c r="N111" s="1523"/>
      <c r="O111" s="1523"/>
      <c r="P111" s="1523"/>
      <c r="Q111" s="156"/>
      <c r="R111" s="157"/>
      <c r="S111" s="49"/>
      <c r="T111" s="50"/>
      <c r="U111" s="1511" t="s">
        <v>272</v>
      </c>
      <c r="V111" s="1511"/>
      <c r="W111" s="1511"/>
      <c r="X111" s="1511"/>
      <c r="Y111" s="1511"/>
      <c r="Z111" s="185"/>
      <c r="AB111" s="4"/>
      <c r="AC111" s="489"/>
      <c r="AD111" s="4"/>
      <c r="AE111" s="74"/>
      <c r="AF111" s="234"/>
      <c r="AG111" s="232"/>
      <c r="AH111" s="4"/>
      <c r="AI111" s="174"/>
      <c r="AJ111" s="22" t="s">
        <v>34</v>
      </c>
      <c r="AK111" s="477" t="str">
        <f t="shared" ref="AK111:AK116" si="77">IF(X94=AK105,"OK","エラー")</f>
        <v>OK</v>
      </c>
      <c r="AL111" s="24" t="s">
        <v>39</v>
      </c>
      <c r="AM111" s="478" t="str">
        <f>IF(Z94=AM105,"OK","エラー")</f>
        <v>OK</v>
      </c>
      <c r="AN111" s="173"/>
      <c r="AO111" s="348"/>
      <c r="AP111" s="348"/>
      <c r="AQ111" s="349"/>
      <c r="AR111" s="349"/>
      <c r="AS111" s="347"/>
      <c r="AT111" s="347"/>
      <c r="AU111" s="347"/>
      <c r="AV111" s="347"/>
      <c r="AW111" s="347"/>
      <c r="AX111" s="318"/>
      <c r="AY111" s="419"/>
      <c r="AZ111" s="348"/>
      <c r="BA111" s="349"/>
      <c r="BB111" s="464" t="str">
        <f>IF(BB109=BB110,"OK","エラー")</f>
        <v>OK</v>
      </c>
      <c r="BC111" s="318"/>
      <c r="BD111" s="449"/>
      <c r="BF111" s="4" t="s">
        <v>257</v>
      </c>
      <c r="BH111" s="12"/>
      <c r="BM111" s="12"/>
      <c r="BR111" s="446"/>
      <c r="BS111" s="12"/>
      <c r="BT111" s="12"/>
      <c r="BU111" s="12"/>
      <c r="BV111" s="12"/>
      <c r="BW111" s="12"/>
      <c r="BX111" s="32" t="s">
        <v>340</v>
      </c>
      <c r="BY111" s="576">
        <f>IF(入力画面!E12=1,1,0)</f>
        <v>0</v>
      </c>
      <c r="BZ111" s="576">
        <f>IF($BY$111=1,ROUNDDOWN($CF$101*BZ107/BZ108,0),0)</f>
        <v>0</v>
      </c>
      <c r="CA111" s="576">
        <f>IF($BY$111=1,ROUNDDOWN($CG$101*CA107/CA108,0),0)</f>
        <v>0</v>
      </c>
      <c r="CB111" s="576">
        <f>IF($BY$111=1,ROUNDDOWN($CH$101*CB107/CB108,0),0)</f>
        <v>0</v>
      </c>
      <c r="CC111" s="576">
        <f>IF($BY$111=1,ROUNDDOWN($CE$101*CC107/CC108,0),0)</f>
        <v>0</v>
      </c>
      <c r="CD111" s="4"/>
      <c r="CE111" s="4"/>
      <c r="CF111" s="583">
        <v>8</v>
      </c>
      <c r="CG111" s="583">
        <f t="shared" si="72"/>
        <v>173300</v>
      </c>
      <c r="CH111" s="4"/>
      <c r="CI111" s="13"/>
      <c r="CK111" s="278"/>
      <c r="CL111" s="281" t="s">
        <v>193</v>
      </c>
      <c r="CM111" s="286">
        <f t="shared" si="66"/>
        <v>0</v>
      </c>
      <c r="CN111" s="289"/>
      <c r="CO111" s="286">
        <f>IF($CN$114=0,0,IF($CN$114&gt;=2,1,IF($CN$114&lt;=-2,-1,0)))</f>
        <v>0</v>
      </c>
      <c r="CP111" s="286">
        <f t="shared" si="76"/>
        <v>0</v>
      </c>
    </row>
    <row r="112" spans="1:94" ht="18" customHeight="1">
      <c r="A112" s="58" t="s">
        <v>1</v>
      </c>
      <c r="B112" s="52"/>
      <c r="C112" s="187">
        <f>IF(H109&gt;0,$X$102,0)</f>
        <v>233</v>
      </c>
      <c r="D112" s="201" t="s">
        <v>6</v>
      </c>
      <c r="E112" s="60" t="s">
        <v>131</v>
      </c>
      <c r="F112" s="1377">
        <f>入力画面!I13</f>
        <v>12</v>
      </c>
      <c r="G112" s="1377"/>
      <c r="H112" s="214" t="s">
        <v>5</v>
      </c>
      <c r="I112" s="1388" t="s">
        <v>270</v>
      </c>
      <c r="J112" s="1388"/>
      <c r="K112" s="1377">
        <f>T99-(K122+K132+K142+K152+K162+K172)</f>
        <v>2790</v>
      </c>
      <c r="L112" s="1377"/>
      <c r="M112" s="202" t="s">
        <v>6</v>
      </c>
      <c r="N112" s="202"/>
      <c r="O112" s="203"/>
      <c r="P112" s="203"/>
      <c r="Q112" s="63"/>
      <c r="R112" s="204"/>
      <c r="S112" s="59"/>
      <c r="T112" s="27"/>
      <c r="U112" s="205"/>
      <c r="V112" s="27"/>
      <c r="W112" s="186"/>
      <c r="X112" s="187"/>
      <c r="Y112" s="206"/>
      <c r="Z112" s="163"/>
      <c r="AA112" s="73"/>
      <c r="AB112" s="73"/>
      <c r="AC112" s="223"/>
      <c r="AD112" s="73"/>
      <c r="AE112" s="73"/>
      <c r="AF112" s="235"/>
      <c r="AG112" s="233"/>
      <c r="AH112" s="189"/>
      <c r="AI112" s="175"/>
      <c r="AJ112" s="28" t="s">
        <v>35</v>
      </c>
      <c r="AK112" s="479" t="str">
        <f t="shared" si="77"/>
        <v>OK</v>
      </c>
      <c r="AL112" s="30" t="s">
        <v>40</v>
      </c>
      <c r="AM112" s="480" t="str">
        <f>IF(Z95=AM106,"OK","エラー")</f>
        <v>OK</v>
      </c>
      <c r="AN112" s="174"/>
      <c r="AO112" s="1407" t="s">
        <v>233</v>
      </c>
      <c r="AP112" s="1407"/>
      <c r="AQ112" s="1407"/>
      <c r="AR112" s="1407"/>
      <c r="AS112" s="347"/>
      <c r="AT112" s="1406" t="s">
        <v>226</v>
      </c>
      <c r="AU112" s="1406"/>
      <c r="AV112" s="347"/>
      <c r="AW112" s="347"/>
      <c r="AX112" s="318"/>
      <c r="AY112" s="1405" t="s">
        <v>226</v>
      </c>
      <c r="AZ112" s="1406"/>
      <c r="BA112" s="349"/>
      <c r="BB112" s="421"/>
      <c r="BC112" s="318"/>
      <c r="BD112" s="1453" t="s">
        <v>226</v>
      </c>
      <c r="BE112" s="1430"/>
      <c r="BF112" s="4" t="s">
        <v>258</v>
      </c>
      <c r="BH112" s="12"/>
      <c r="BI112" s="1430" t="s">
        <v>226</v>
      </c>
      <c r="BJ112" s="1430"/>
      <c r="BM112" s="12"/>
      <c r="BN112" s="1430" t="s">
        <v>226</v>
      </c>
      <c r="BO112" s="1430"/>
      <c r="BR112" s="446"/>
      <c r="BS112" s="12"/>
      <c r="BT112" s="12"/>
      <c r="BU112" s="12"/>
      <c r="BV112" s="12"/>
      <c r="BW112" s="12"/>
      <c r="BX112" s="4"/>
      <c r="BY112" s="4"/>
      <c r="BZ112" s="4"/>
      <c r="CA112" s="4"/>
      <c r="CB112" s="4"/>
      <c r="CC112" s="4"/>
      <c r="CD112" s="4"/>
      <c r="CE112" s="4"/>
      <c r="CF112" s="583">
        <v>9</v>
      </c>
      <c r="CG112" s="583">
        <f t="shared" si="72"/>
        <v>195000</v>
      </c>
      <c r="CH112" s="4"/>
      <c r="CI112" s="13"/>
      <c r="CK112" s="278"/>
      <c r="CL112" s="281" t="s">
        <v>194</v>
      </c>
      <c r="CM112" s="286">
        <f t="shared" si="66"/>
        <v>0</v>
      </c>
      <c r="CN112" s="290" t="s">
        <v>204</v>
      </c>
      <c r="CO112" s="286">
        <f>IF($CN$114=0,0,IF($CN$114&gt;=1,1,IF($CN$114&lt;=-1,-1,0)))</f>
        <v>0</v>
      </c>
      <c r="CP112" s="286">
        <f t="shared" si="76"/>
        <v>0</v>
      </c>
    </row>
    <row r="113" spans="1:94" ht="18" customHeight="1">
      <c r="D113" s="101"/>
      <c r="E113" s="70"/>
      <c r="G113" s="9"/>
      <c r="H113" s="102"/>
      <c r="I113" s="5"/>
      <c r="J113" s="9"/>
      <c r="K113" s="18"/>
      <c r="M113" s="103"/>
      <c r="P113" s="103"/>
      <c r="Q113" s="70"/>
      <c r="R113" s="104"/>
      <c r="S113" s="68"/>
      <c r="T113" s="68"/>
      <c r="U113" s="68"/>
      <c r="AA113" s="26"/>
      <c r="AB113" s="26"/>
      <c r="AC113" s="491"/>
      <c r="AD113" s="26"/>
      <c r="AE113" s="486"/>
      <c r="AF113" s="231"/>
      <c r="AG113" s="26"/>
      <c r="AH113" s="26"/>
      <c r="AI113" s="173"/>
      <c r="AJ113" s="28" t="s">
        <v>36</v>
      </c>
      <c r="AK113" s="479" t="str">
        <f t="shared" si="77"/>
        <v>OK</v>
      </c>
      <c r="AL113" s="30" t="s">
        <v>41</v>
      </c>
      <c r="AM113" s="480" t="str">
        <f>IF(Z96=AM107,"OK","エラー")</f>
        <v>OK</v>
      </c>
      <c r="AN113" s="174"/>
      <c r="AO113" s="367" t="s">
        <v>217</v>
      </c>
      <c r="AP113" s="1401" t="s">
        <v>232</v>
      </c>
      <c r="AQ113" s="1401"/>
      <c r="AR113" s="1401"/>
      <c r="AS113" s="369"/>
      <c r="AT113" s="1413" t="s">
        <v>218</v>
      </c>
      <c r="AU113" s="1413"/>
      <c r="AV113" s="1413"/>
      <c r="AW113" s="1413"/>
      <c r="AX113" s="318"/>
      <c r="AY113" s="416" t="s">
        <v>224</v>
      </c>
      <c r="AZ113" s="1448" t="s">
        <v>223</v>
      </c>
      <c r="BA113" s="1448"/>
      <c r="BB113" s="1449"/>
      <c r="BC113" s="318"/>
      <c r="BD113" s="1426" t="s">
        <v>261</v>
      </c>
      <c r="BE113" s="1427"/>
      <c r="BF113" s="1427"/>
      <c r="BG113" s="1427"/>
      <c r="BH113" s="12"/>
      <c r="BI113" s="437" t="s">
        <v>262</v>
      </c>
      <c r="BJ113" s="1438" t="s">
        <v>260</v>
      </c>
      <c r="BK113" s="1438"/>
      <c r="BL113" s="1438"/>
      <c r="BM113" s="12"/>
      <c r="BN113" s="12"/>
      <c r="BO113" s="143" t="s">
        <v>263</v>
      </c>
      <c r="BP113" s="12" t="s">
        <v>88</v>
      </c>
      <c r="BQ113" s="12"/>
      <c r="BR113" s="446"/>
      <c r="BS113" s="12"/>
      <c r="BT113" s="12"/>
      <c r="BU113" s="12"/>
      <c r="BV113" s="12"/>
      <c r="BW113" s="12"/>
      <c r="BX113" s="4"/>
      <c r="BY113" s="4"/>
      <c r="BZ113" s="4"/>
      <c r="CA113" s="4"/>
      <c r="CB113" s="4"/>
      <c r="CC113" s="4"/>
      <c r="CD113" s="4"/>
      <c r="CE113" s="4"/>
      <c r="CF113" s="583">
        <v>10</v>
      </c>
      <c r="CG113" s="583">
        <f t="shared" si="72"/>
        <v>216600</v>
      </c>
      <c r="CH113" s="4"/>
      <c r="CI113" s="13"/>
      <c r="CK113" s="278"/>
      <c r="CL113" s="281"/>
      <c r="CM113" s="299" t="s">
        <v>206</v>
      </c>
      <c r="CN113" s="291" t="s">
        <v>208</v>
      </c>
      <c r="CO113" s="289"/>
      <c r="CP113" s="289"/>
    </row>
    <row r="114" spans="1:94" ht="18" customHeight="1">
      <c r="A114" s="194" t="s">
        <v>52</v>
      </c>
      <c r="B114" s="1396">
        <f>B25</f>
        <v>0</v>
      </c>
      <c r="C114" s="1396"/>
      <c r="D114" s="1396"/>
      <c r="E114" s="196" t="s">
        <v>11</v>
      </c>
      <c r="F114" s="1398" t="s">
        <v>57</v>
      </c>
      <c r="G114" s="1398"/>
      <c r="H114" s="1399"/>
      <c r="I114" s="1380">
        <f>IF(I25=1,1,0)</f>
        <v>0</v>
      </c>
      <c r="J114" s="1381"/>
      <c r="K114" s="1515">
        <f>IF(H119=0,0,IF($K$97=0, "加入月が未入力です!！",IF($L$176=$A$176,"限度超過額に達しているため計算不可能!!",IF(U116-U115=U117,"エラー名前を入力されているが加入月未入力!！",IF(H119&gt;K116,"加入月未入力エラー!！",0)))))</f>
        <v>0</v>
      </c>
      <c r="L114" s="1516"/>
      <c r="M114" s="1516"/>
      <c r="N114" s="1516"/>
      <c r="O114" s="1516"/>
      <c r="P114" s="1516"/>
      <c r="Q114" s="1516"/>
      <c r="R114" s="1516"/>
      <c r="S114" s="1517"/>
      <c r="T114" s="195" t="s">
        <v>47</v>
      </c>
      <c r="U114" s="1417">
        <f>IF(U119&gt;0,"支援分",0)</f>
        <v>0</v>
      </c>
      <c r="V114" s="1418"/>
      <c r="W114" s="1419" t="s">
        <v>46</v>
      </c>
      <c r="X114" s="1278"/>
      <c r="Y114" s="1278"/>
      <c r="Z114" s="1279"/>
      <c r="AA114" s="26"/>
      <c r="AB114" s="26"/>
      <c r="AC114" s="491"/>
      <c r="AD114" s="26"/>
      <c r="AE114" s="486"/>
      <c r="AF114" s="236" t="s">
        <v>117</v>
      </c>
      <c r="AG114" s="26"/>
      <c r="AH114" s="274">
        <f>IF(K116=0,0,IF(K116&lt;12,1,0))</f>
        <v>0</v>
      </c>
      <c r="AI114" s="73"/>
      <c r="AJ114" s="28" t="s">
        <v>43</v>
      </c>
      <c r="AK114" s="479" t="str">
        <f t="shared" si="77"/>
        <v>OK</v>
      </c>
      <c r="AL114" s="30" t="s">
        <v>42</v>
      </c>
      <c r="AM114" s="480" t="str">
        <f>IF(Z97=AM108,"OK","エラー")</f>
        <v>OK</v>
      </c>
      <c r="AN114" s="366" t="s">
        <v>145</v>
      </c>
      <c r="AO114" s="1319" t="s">
        <v>220</v>
      </c>
      <c r="AP114" s="1402"/>
      <c r="AQ114" s="1403">
        <f>IF(AR30=0,0,ROUNDDOWN(AR120/(AW31+AR120),8))</f>
        <v>0</v>
      </c>
      <c r="AR114" s="1404"/>
      <c r="AS114" s="370"/>
      <c r="AT114" s="1319" t="s">
        <v>213</v>
      </c>
      <c r="AU114" s="1402"/>
      <c r="AV114" s="1411">
        <f>IF($AG$2&gt;0,0,AR120-AR119)</f>
        <v>0</v>
      </c>
      <c r="AW114" s="1412"/>
      <c r="AX114" s="318"/>
      <c r="AY114" s="1408" t="s">
        <v>46</v>
      </c>
      <c r="AZ114" s="1402"/>
      <c r="BA114" s="1450">
        <f>IF(R116+R119=0,0,IF(K117&gt;K116,"期割がアンマッチ使用禁止↓",0))</f>
        <v>0</v>
      </c>
      <c r="BB114" s="1451"/>
      <c r="BC114" s="318"/>
      <c r="BD114" s="1435" t="s">
        <v>46</v>
      </c>
      <c r="BE114" s="1434"/>
      <c r="BF114" s="1436" t="s">
        <v>87</v>
      </c>
      <c r="BG114" s="1437"/>
      <c r="BH114" s="12"/>
      <c r="BI114" s="1253" t="s">
        <v>89</v>
      </c>
      <c r="BJ114" s="1434"/>
      <c r="BK114" s="438"/>
      <c r="BL114" s="439"/>
      <c r="BM114" s="12"/>
      <c r="BN114" s="1253" t="s">
        <v>46</v>
      </c>
      <c r="BO114" s="1434"/>
      <c r="BP114" s="1431"/>
      <c r="BQ114" s="1433"/>
      <c r="BR114" s="446"/>
      <c r="BS114" s="12"/>
      <c r="BT114" s="12"/>
      <c r="BU114" s="12"/>
      <c r="BV114" s="12"/>
      <c r="BW114" s="12"/>
      <c r="BX114" s="4"/>
      <c r="BY114" s="4"/>
      <c r="BZ114" s="4"/>
      <c r="CA114" s="4"/>
      <c r="CB114" s="4"/>
      <c r="CC114" s="4"/>
      <c r="CD114" s="4"/>
      <c r="CE114" s="4"/>
      <c r="CF114" s="583">
        <v>11</v>
      </c>
      <c r="CG114" s="583">
        <f t="shared" si="72"/>
        <v>238300</v>
      </c>
      <c r="CH114" s="4"/>
      <c r="CI114" s="13"/>
      <c r="CK114" s="278"/>
      <c r="CL114" s="281" t="s">
        <v>203</v>
      </c>
      <c r="CM114" s="286">
        <f>SUM(CM103:CM112)</f>
        <v>0</v>
      </c>
      <c r="CN114" s="286">
        <f>CM102-CM114</f>
        <v>0</v>
      </c>
      <c r="CO114" s="289"/>
      <c r="CP114" s="289"/>
    </row>
    <row r="115" spans="1:94" ht="18" customHeight="1">
      <c r="A115" s="165"/>
      <c r="B115" s="12"/>
      <c r="C115" s="75" t="s">
        <v>33</v>
      </c>
      <c r="D115" s="12"/>
      <c r="E115" s="12"/>
      <c r="F115" s="1394" t="s">
        <v>433</v>
      </c>
      <c r="G115" s="1394"/>
      <c r="H115" s="1394"/>
      <c r="I115" s="1380">
        <f>IF(I26=1,1,0)</f>
        <v>0</v>
      </c>
      <c r="J115" s="1381"/>
      <c r="K115" s="76" t="s">
        <v>9</v>
      </c>
      <c r="L115" s="12"/>
      <c r="M115" s="1551"/>
      <c r="N115" s="1551"/>
      <c r="O115" s="1551"/>
      <c r="P115" s="1551"/>
      <c r="Q115" s="1551"/>
      <c r="R115" s="1551"/>
      <c r="S115" s="1552"/>
      <c r="T115" s="72" t="s">
        <v>30</v>
      </c>
      <c r="U115" s="105">
        <f>R116+R119</f>
        <v>0</v>
      </c>
      <c r="V115" s="88" t="s">
        <v>6</v>
      </c>
      <c r="W115" s="80" t="s">
        <v>34</v>
      </c>
      <c r="X115" s="29">
        <f>IF($AH$13&gt;0,0,AZ115)</f>
        <v>0</v>
      </c>
      <c r="Y115" s="80" t="s">
        <v>39</v>
      </c>
      <c r="Z115" s="31">
        <f>IF($AH$13&gt;0,0,BB115)</f>
        <v>0</v>
      </c>
      <c r="AA115" s="26"/>
      <c r="AB115" s="26"/>
      <c r="AC115" s="491"/>
      <c r="AD115" s="26"/>
      <c r="AE115" s="486"/>
      <c r="AF115" s="217">
        <f>AF116+AF119+AF122</f>
        <v>0</v>
      </c>
      <c r="AG115" s="26"/>
      <c r="AH115" s="26"/>
      <c r="AI115" s="173"/>
      <c r="AJ115" s="28" t="s">
        <v>37</v>
      </c>
      <c r="AK115" s="479" t="str">
        <f t="shared" si="77"/>
        <v>OK</v>
      </c>
      <c r="AL115" s="1253" t="s">
        <v>44</v>
      </c>
      <c r="AM115" s="1414" t="str">
        <f>IF(Z98=AM109,"OK","エラー")</f>
        <v>OK</v>
      </c>
      <c r="AN115" s="173"/>
      <c r="AO115" s="126" t="s">
        <v>34</v>
      </c>
      <c r="AP115" s="344">
        <f>ROUND((AP26-AP203-AP292)*AQ114,0)</f>
        <v>0</v>
      </c>
      <c r="AQ115" s="351" t="s">
        <v>39</v>
      </c>
      <c r="AR115" s="345">
        <f>ROUND((AR26-AR203-AR292)*AQ114,0)</f>
        <v>0</v>
      </c>
      <c r="AS115" s="371"/>
      <c r="AT115" s="126" t="s">
        <v>34</v>
      </c>
      <c r="AU115" s="344">
        <f>IF(AV114=0,0,IF(AV114&gt;=10,1,IF(AV114&lt;=-10,-1,0)))</f>
        <v>0</v>
      </c>
      <c r="AV115" s="351" t="s">
        <v>39</v>
      </c>
      <c r="AW115" s="345">
        <f>IF(AV114=0,0,IF(AV114&gt;=4,1,IF(AV114&lt;=-4,-1,0)))</f>
        <v>0</v>
      </c>
      <c r="AX115" s="318"/>
      <c r="AY115" s="258" t="s">
        <v>34</v>
      </c>
      <c r="AZ115" s="372">
        <f t="shared" ref="AZ115:AZ120" si="78">IF($AG$2&gt;0,"限度超過",IF($A$176=$L$176,"限度超過",AP115+AU115))</f>
        <v>0</v>
      </c>
      <c r="BA115" s="319" t="s">
        <v>39</v>
      </c>
      <c r="BB115" s="127">
        <f>IF($AG$2&gt;0,"限度超過",IF($A$176=$L$176,"限度超過",AR115+AW115))</f>
        <v>0</v>
      </c>
      <c r="BC115" s="318"/>
      <c r="BD115" s="448" t="s">
        <v>34</v>
      </c>
      <c r="BE115" s="81">
        <f t="shared" ref="BE115:BE120" si="79">BE105</f>
        <v>0</v>
      </c>
      <c r="BF115" s="82" t="s">
        <v>39</v>
      </c>
      <c r="BG115" s="29">
        <f>BG105</f>
        <v>0</v>
      </c>
      <c r="BH115" s="12"/>
      <c r="BI115" s="80" t="s">
        <v>34</v>
      </c>
      <c r="BJ115" s="29">
        <f t="shared" ref="BJ115:BJ120" si="80">IF($A$176=$L$176,"限度超過",IF(BE115=0,0,BE115/$S$94))</f>
        <v>0</v>
      </c>
      <c r="BK115" s="80" t="s">
        <v>39</v>
      </c>
      <c r="BL115" s="29">
        <f>IF($A$176=$L$176,"限度超過",IF(BG115=0,0,BG115/$S$94))</f>
        <v>0</v>
      </c>
      <c r="BM115" s="12"/>
      <c r="BN115" s="30" t="s">
        <v>34</v>
      </c>
      <c r="BO115" s="29">
        <f t="shared" ref="BO115:BO120" si="81">IF($A$176=$L$176,"限度超過",IF($S$94&lt;=1,0,BJ115))</f>
        <v>0</v>
      </c>
      <c r="BP115" s="80" t="s">
        <v>39</v>
      </c>
      <c r="BQ115" s="29">
        <f>IF($A$176=$L$176,"限度超過",IF($S$94&lt;=1,0,BL115))</f>
        <v>0</v>
      </c>
      <c r="BR115" s="446"/>
      <c r="BS115" s="12"/>
      <c r="BT115" s="12"/>
      <c r="BU115" s="12"/>
      <c r="BV115" s="12"/>
      <c r="BW115" s="12"/>
      <c r="BX115" s="32"/>
      <c r="BY115" s="33" t="str">
        <f>BY105</f>
        <v>料率</v>
      </c>
      <c r="BZ115" s="33">
        <f>BZ105</f>
        <v>7</v>
      </c>
      <c r="CA115" s="33">
        <f>CA105</f>
        <v>5</v>
      </c>
      <c r="CB115" s="33">
        <f>CB105</f>
        <v>2</v>
      </c>
      <c r="CC115" s="576" t="s">
        <v>341</v>
      </c>
      <c r="CD115" s="4"/>
      <c r="CE115" s="4"/>
      <c r="CF115" s="583">
        <v>12</v>
      </c>
      <c r="CG115" s="583">
        <f t="shared" si="72"/>
        <v>260000</v>
      </c>
      <c r="CH115" s="4"/>
      <c r="CI115" s="13"/>
      <c r="CK115" s="278"/>
      <c r="CL115" s="281"/>
      <c r="CM115" s="301" t="s">
        <v>207</v>
      </c>
      <c r="CN115" s="289"/>
      <c r="CO115" s="289"/>
      <c r="CP115" s="289"/>
    </row>
    <row r="116" spans="1:94" ht="18" customHeight="1">
      <c r="A116" s="1378" t="s">
        <v>0</v>
      </c>
      <c r="B116" s="1556" t="s">
        <v>129</v>
      </c>
      <c r="C116" s="1382">
        <f>C27</f>
        <v>0</v>
      </c>
      <c r="D116" s="1010" t="s">
        <v>58</v>
      </c>
      <c r="E116" s="1389">
        <f>IF(H119&gt;0,$CE$100, 0)</f>
        <v>0</v>
      </c>
      <c r="F116" s="1395" t="s">
        <v>22</v>
      </c>
      <c r="G116" s="1010" t="s">
        <v>59</v>
      </c>
      <c r="H116" s="85">
        <f>IF(H119&gt;0,$CE$96,0)</f>
        <v>0</v>
      </c>
      <c r="I116" s="1385" t="s">
        <v>22</v>
      </c>
      <c r="J116" s="1010" t="s">
        <v>59</v>
      </c>
      <c r="K116" s="51">
        <f>K27</f>
        <v>0</v>
      </c>
      <c r="L116" s="52" t="s">
        <v>5</v>
      </c>
      <c r="M116" s="1395"/>
      <c r="N116" s="1527"/>
      <c r="O116" s="86"/>
      <c r="P116" s="1392" t="s">
        <v>130</v>
      </c>
      <c r="Q116" s="1392"/>
      <c r="R116" s="1391">
        <f>ROUNDDOWN(IF(((C116-E116)*H116/H117)*K116/K117&lt;0,0,((C116-E116)*H116/H117)*K116/K117),0)</f>
        <v>0</v>
      </c>
      <c r="S116" s="1520" t="s">
        <v>6</v>
      </c>
      <c r="T116" s="72" t="s">
        <v>1</v>
      </c>
      <c r="U116" s="105">
        <f>IF(H119=0,0,K122)</f>
        <v>0</v>
      </c>
      <c r="V116" s="88" t="s">
        <v>6</v>
      </c>
      <c r="W116" s="30" t="s">
        <v>35</v>
      </c>
      <c r="X116" s="29">
        <f t="shared" ref="X116:X120" si="82">IF($AH$13&gt;0,0,AZ116)</f>
        <v>0</v>
      </c>
      <c r="Y116" s="30" t="s">
        <v>40</v>
      </c>
      <c r="Z116" s="31">
        <f>IF($AH$13&gt;0,0,BB116)</f>
        <v>0</v>
      </c>
      <c r="AA116" s="26"/>
      <c r="AB116" s="26"/>
      <c r="AC116" s="491"/>
      <c r="AD116" s="26"/>
      <c r="AE116" s="486"/>
      <c r="AF116" s="1423">
        <f>ROUNDDOWN(IF(((C116-E116)*H116/H117)&lt;0,0,((C116-E116)*H116/H117)),0)</f>
        <v>0</v>
      </c>
      <c r="AG116" s="26"/>
      <c r="AH116" s="26"/>
      <c r="AI116" s="173"/>
      <c r="AJ116" s="65" t="s">
        <v>38</v>
      </c>
      <c r="AK116" s="481" t="str">
        <f t="shared" si="77"/>
        <v>OK</v>
      </c>
      <c r="AL116" s="1254"/>
      <c r="AM116" s="1415"/>
      <c r="AN116" s="173"/>
      <c r="AO116" s="126" t="s">
        <v>35</v>
      </c>
      <c r="AP116" s="344">
        <f>ROUND((AP27-AP204-AP293)*AQ114,0)</f>
        <v>0</v>
      </c>
      <c r="AQ116" s="351" t="s">
        <v>40</v>
      </c>
      <c r="AR116" s="345">
        <f>ROUND((AR27-AR204-AR293)*AQ114,0)</f>
        <v>0</v>
      </c>
      <c r="AS116" s="371"/>
      <c r="AT116" s="126" t="s">
        <v>35</v>
      </c>
      <c r="AU116" s="344">
        <f>IF(AV114=0,0,IF(AV114&gt;=9,1,IF(AV114&lt;=-9,-1,0)))</f>
        <v>0</v>
      </c>
      <c r="AV116" s="351" t="s">
        <v>40</v>
      </c>
      <c r="AW116" s="345">
        <f>IF(AV114=0,0,IF(AV114&gt;=3,1,IF(AV114&lt;=-3,-1,0)))</f>
        <v>0</v>
      </c>
      <c r="AX116" s="318"/>
      <c r="AY116" s="262" t="s">
        <v>35</v>
      </c>
      <c r="AZ116" s="372">
        <f t="shared" si="78"/>
        <v>0</v>
      </c>
      <c r="BA116" s="319" t="s">
        <v>40</v>
      </c>
      <c r="BB116" s="127">
        <f>IF($AG$2&gt;0,"限度超過",IF($A$176=$L$176,"限度超過",AR116+AW116))</f>
        <v>0</v>
      </c>
      <c r="BC116" s="318"/>
      <c r="BD116" s="448" t="s">
        <v>35</v>
      </c>
      <c r="BE116" s="81">
        <f t="shared" si="79"/>
        <v>0</v>
      </c>
      <c r="BF116" s="82" t="s">
        <v>40</v>
      </c>
      <c r="BG116" s="29">
        <f>BG106</f>
        <v>0</v>
      </c>
      <c r="BH116" s="12"/>
      <c r="BI116" s="30" t="s">
        <v>35</v>
      </c>
      <c r="BJ116" s="29">
        <f t="shared" si="80"/>
        <v>0</v>
      </c>
      <c r="BK116" s="30" t="s">
        <v>40</v>
      </c>
      <c r="BL116" s="29">
        <f>IF($A$176=$L$176,"限度超過",IF(BG116=0,0,BG116/$S$94))</f>
        <v>0</v>
      </c>
      <c r="BM116" s="12"/>
      <c r="BN116" s="30" t="s">
        <v>35</v>
      </c>
      <c r="BO116" s="29">
        <f t="shared" si="81"/>
        <v>0</v>
      </c>
      <c r="BP116" s="30" t="s">
        <v>40</v>
      </c>
      <c r="BQ116" s="29">
        <f>IF($A$176=$L$176,"限度超過",IF($S$94&lt;=1,0,BL116))</f>
        <v>0</v>
      </c>
      <c r="BR116" s="446"/>
      <c r="BS116" s="12"/>
      <c r="BT116" s="12"/>
      <c r="BU116" s="12"/>
      <c r="BV116" s="12"/>
      <c r="BW116" s="12"/>
      <c r="BX116" s="32" t="s">
        <v>17</v>
      </c>
      <c r="BY116" s="44">
        <v>0</v>
      </c>
      <c r="BZ116" s="45">
        <f>$CF$97</f>
        <v>6440</v>
      </c>
      <c r="CA116" s="45">
        <f>$CG$97</f>
        <v>4600</v>
      </c>
      <c r="CB116" s="45">
        <f>$CH$97</f>
        <v>1840</v>
      </c>
      <c r="CC116" s="576"/>
      <c r="CD116" s="4"/>
      <c r="CE116" s="4"/>
      <c r="CF116" s="4"/>
      <c r="CG116" s="587">
        <f>VLOOKUP(BV172,CF104:CG115,2,FALSE)</f>
        <v>260000</v>
      </c>
      <c r="CH116" s="4"/>
      <c r="CI116" s="13"/>
      <c r="CK116" s="279"/>
      <c r="CL116" s="282"/>
      <c r="CM116" s="300" t="s">
        <v>183</v>
      </c>
      <c r="CN116" s="296"/>
      <c r="CO116" s="296"/>
      <c r="CP116" s="296"/>
    </row>
    <row r="117" spans="1:94" ht="18" customHeight="1">
      <c r="A117" s="1378"/>
      <c r="B117" s="1556"/>
      <c r="C117" s="1382"/>
      <c r="D117" s="1010"/>
      <c r="E117" s="1389"/>
      <c r="F117" s="1395"/>
      <c r="G117" s="1010"/>
      <c r="H117" s="39">
        <v>100</v>
      </c>
      <c r="I117" s="1385"/>
      <c r="J117" s="1010"/>
      <c r="K117" s="55">
        <v>12</v>
      </c>
      <c r="L117" s="12" t="s">
        <v>5</v>
      </c>
      <c r="M117" s="1395"/>
      <c r="N117" s="1527"/>
      <c r="O117" s="86"/>
      <c r="P117" s="1392"/>
      <c r="Q117" s="1392"/>
      <c r="R117" s="1391"/>
      <c r="S117" s="1520"/>
      <c r="T117" s="72" t="s">
        <v>29</v>
      </c>
      <c r="U117" s="105">
        <f>U115+U116</f>
        <v>0</v>
      </c>
      <c r="V117" s="88" t="s">
        <v>6</v>
      </c>
      <c r="W117" s="30" t="s">
        <v>36</v>
      </c>
      <c r="X117" s="29">
        <f t="shared" si="82"/>
        <v>0</v>
      </c>
      <c r="Y117" s="30" t="s">
        <v>41</v>
      </c>
      <c r="Z117" s="31">
        <f>IF($AH$13&gt;0,0,BB117)</f>
        <v>0</v>
      </c>
      <c r="AA117" s="26"/>
      <c r="AB117" s="26"/>
      <c r="AC117" s="491"/>
      <c r="AD117" s="26"/>
      <c r="AE117" s="486"/>
      <c r="AF117" s="1424"/>
      <c r="AG117" s="26"/>
      <c r="AH117" s="26"/>
      <c r="AI117" s="173"/>
      <c r="AJ117" s="173"/>
      <c r="AK117" s="173"/>
      <c r="AL117" s="173"/>
      <c r="AM117" s="173"/>
      <c r="AN117" s="173"/>
      <c r="AO117" s="126" t="s">
        <v>36</v>
      </c>
      <c r="AP117" s="344">
        <f>ROUND((AP28-AP205-AP294)*AQ114,0)</f>
        <v>0</v>
      </c>
      <c r="AQ117" s="351" t="s">
        <v>41</v>
      </c>
      <c r="AR117" s="345">
        <f>ROUND((AR28-AR205-AR294)*AQ114,0)</f>
        <v>0</v>
      </c>
      <c r="AS117" s="350"/>
      <c r="AT117" s="126" t="s">
        <v>36</v>
      </c>
      <c r="AU117" s="344">
        <f>IF(AV114=0,0,IF(AV114&gt;=8,1,IF(AV114&lt;=-8,-1,0)))</f>
        <v>0</v>
      </c>
      <c r="AV117" s="351" t="s">
        <v>41</v>
      </c>
      <c r="AW117" s="345">
        <f>IF(AV114=0,0,IF(AV114&gt;=2,1,IF(AV114&lt;=-2,-1,0)))</f>
        <v>0</v>
      </c>
      <c r="AX117" s="318"/>
      <c r="AY117" s="262" t="s">
        <v>36</v>
      </c>
      <c r="AZ117" s="372">
        <f t="shared" si="78"/>
        <v>0</v>
      </c>
      <c r="BA117" s="319" t="s">
        <v>41</v>
      </c>
      <c r="BB117" s="127">
        <f>IF($AG$2&gt;0,"限度超過",IF($A$176=$L$176,"限度超過",AR117+AW117))</f>
        <v>0</v>
      </c>
      <c r="BC117" s="318"/>
      <c r="BD117" s="448" t="s">
        <v>36</v>
      </c>
      <c r="BE117" s="81">
        <f t="shared" si="79"/>
        <v>0</v>
      </c>
      <c r="BF117" s="82" t="s">
        <v>41</v>
      </c>
      <c r="BG117" s="29">
        <f>BG107</f>
        <v>0</v>
      </c>
      <c r="BH117" s="12"/>
      <c r="BI117" s="30" t="s">
        <v>36</v>
      </c>
      <c r="BJ117" s="29">
        <f t="shared" si="80"/>
        <v>0</v>
      </c>
      <c r="BK117" s="30" t="s">
        <v>41</v>
      </c>
      <c r="BL117" s="29">
        <f>IF($A$176=$L$176,"限度超過",IF(BG117=0,0,BG117/$S$94))</f>
        <v>0</v>
      </c>
      <c r="BM117" s="12"/>
      <c r="BN117" s="30" t="s">
        <v>36</v>
      </c>
      <c r="BO117" s="29">
        <f t="shared" si="81"/>
        <v>0</v>
      </c>
      <c r="BP117" s="30" t="s">
        <v>41</v>
      </c>
      <c r="BQ117" s="29">
        <f>IF($A$176=$L$176,"限度超過",IF($S$94&lt;=1,0,BL117))</f>
        <v>0</v>
      </c>
      <c r="BR117" s="446"/>
      <c r="BS117" s="12"/>
      <c r="BT117" s="12"/>
      <c r="BU117" s="12"/>
      <c r="BV117" s="12"/>
      <c r="BW117" s="12"/>
      <c r="BX117" s="32" t="s">
        <v>8</v>
      </c>
      <c r="BY117" s="45">
        <f>K119</f>
        <v>0</v>
      </c>
      <c r="BZ117" s="45">
        <f t="shared" ref="BZ117:CB119" si="83">BY117</f>
        <v>0</v>
      </c>
      <c r="CA117" s="45">
        <f t="shared" si="83"/>
        <v>0</v>
      </c>
      <c r="CB117" s="45">
        <f t="shared" si="83"/>
        <v>0</v>
      </c>
      <c r="CC117" s="576">
        <f>CB117</f>
        <v>0</v>
      </c>
      <c r="CD117" s="4"/>
      <c r="CE117" s="4"/>
      <c r="CF117" s="4"/>
      <c r="CG117" s="4"/>
      <c r="CH117" s="4"/>
      <c r="CI117" s="13"/>
    </row>
    <row r="118" spans="1:94" ht="18" customHeight="1">
      <c r="A118" s="165"/>
      <c r="B118" s="12"/>
      <c r="C118" s="50"/>
      <c r="D118" s="12"/>
      <c r="E118" s="12"/>
      <c r="F118" s="12"/>
      <c r="G118" s="12"/>
      <c r="H118" s="91"/>
      <c r="I118" s="75"/>
      <c r="J118" s="75"/>
      <c r="K118" s="92"/>
      <c r="L118" s="75"/>
      <c r="M118" s="93"/>
      <c r="N118" s="578">
        <f>IF(入力画面!E17=1,"未就学児",0)</f>
        <v>0</v>
      </c>
      <c r="O118" s="42">
        <f>IF(H119=0,0,$D$94)</f>
        <v>0</v>
      </c>
      <c r="P118" s="463">
        <f>IF(O119=0,0,"軽減額")</f>
        <v>0</v>
      </c>
      <c r="Q118" s="12"/>
      <c r="R118" s="95"/>
      <c r="S118" s="49"/>
      <c r="T118" s="96" t="s">
        <v>31</v>
      </c>
      <c r="U118" s="105">
        <f>ROUNDDOWN(U117,-2)</f>
        <v>0</v>
      </c>
      <c r="V118" s="88" t="s">
        <v>6</v>
      </c>
      <c r="W118" s="30" t="s">
        <v>43</v>
      </c>
      <c r="X118" s="29">
        <f t="shared" si="82"/>
        <v>0</v>
      </c>
      <c r="Y118" s="30" t="s">
        <v>42</v>
      </c>
      <c r="Z118" s="31">
        <f>IF($AH$13&gt;0,0,BB118)</f>
        <v>0</v>
      </c>
      <c r="AA118" s="4"/>
      <c r="AB118" s="4"/>
      <c r="AC118" s="489"/>
      <c r="AD118" s="4"/>
      <c r="AE118" s="497" t="str">
        <f>IF($AH$13&gt;0,"－",IF($AG$2&gt;0,"限度超過",IF(U119=Z119,"OK","ｱﾝﾏｯﾁ")))</f>
        <v>OK</v>
      </c>
      <c r="AF118" s="496"/>
      <c r="AG118" s="4"/>
      <c r="AI118" s="174"/>
      <c r="AJ118" s="174"/>
      <c r="AK118" s="174"/>
      <c r="AL118" s="174"/>
      <c r="AM118" s="174"/>
      <c r="AN118" s="173"/>
      <c r="AO118" s="126" t="s">
        <v>43</v>
      </c>
      <c r="AP118" s="344">
        <f>ROUND((AP29-AP206-AP295)*AQ114,0)</f>
        <v>0</v>
      </c>
      <c r="AQ118" s="351" t="s">
        <v>42</v>
      </c>
      <c r="AR118" s="345">
        <f>ROUND((AR29-AR206-AR295)*AQ114,0)</f>
        <v>0</v>
      </c>
      <c r="AS118" s="350"/>
      <c r="AT118" s="126" t="s">
        <v>43</v>
      </c>
      <c r="AU118" s="344">
        <f>IF(AV114=0,0,IF(AV114&gt;=7,1,IF(AV114&lt;=-7,-1,0)))</f>
        <v>0</v>
      </c>
      <c r="AV118" s="351" t="s">
        <v>42</v>
      </c>
      <c r="AW118" s="345">
        <f>IF(AV114=0,0,IF(AV114&gt;=1,1,IF(AV114&lt;=-1,-1,0)))</f>
        <v>0</v>
      </c>
      <c r="AX118" s="318"/>
      <c r="AY118" s="262" t="s">
        <v>43</v>
      </c>
      <c r="AZ118" s="372">
        <f t="shared" si="78"/>
        <v>0</v>
      </c>
      <c r="BA118" s="319" t="s">
        <v>42</v>
      </c>
      <c r="BB118" s="127">
        <f>IF($AG$2&gt;0,"限度超過",IF($A$176=$L$176,"限度超過",AR118+AW118))</f>
        <v>0</v>
      </c>
      <c r="BC118" s="318"/>
      <c r="BD118" s="448" t="s">
        <v>43</v>
      </c>
      <c r="BE118" s="81">
        <f t="shared" si="79"/>
        <v>0</v>
      </c>
      <c r="BF118" s="82" t="s">
        <v>42</v>
      </c>
      <c r="BG118" s="29">
        <f>BG108</f>
        <v>0</v>
      </c>
      <c r="BH118" s="12"/>
      <c r="BI118" s="30" t="s">
        <v>43</v>
      </c>
      <c r="BJ118" s="29">
        <f t="shared" si="80"/>
        <v>0</v>
      </c>
      <c r="BK118" s="30" t="s">
        <v>42</v>
      </c>
      <c r="BL118" s="29">
        <f>IF($A$176=$L$176,"限度超過",IF(BG118=0,0,BG118/$S$94))</f>
        <v>0</v>
      </c>
      <c r="BM118" s="12"/>
      <c r="BN118" s="30" t="s">
        <v>43</v>
      </c>
      <c r="BO118" s="29">
        <f t="shared" si="81"/>
        <v>0</v>
      </c>
      <c r="BP118" s="30" t="s">
        <v>42</v>
      </c>
      <c r="BQ118" s="29">
        <f>IF($A$176=$L$176,"限度超過",IF($S$94&lt;=1,0,BL118))</f>
        <v>0</v>
      </c>
      <c r="BR118" s="446"/>
      <c r="BS118" s="12"/>
      <c r="BT118" s="12"/>
      <c r="BU118" s="12"/>
      <c r="BV118" s="12"/>
      <c r="BW118" s="12"/>
      <c r="BX118" s="32" t="s">
        <v>25</v>
      </c>
      <c r="BY118" s="45">
        <f>K120</f>
        <v>0</v>
      </c>
      <c r="BZ118" s="45">
        <f t="shared" si="83"/>
        <v>0</v>
      </c>
      <c r="CA118" s="45">
        <f t="shared" si="83"/>
        <v>0</v>
      </c>
      <c r="CB118" s="45">
        <f t="shared" si="83"/>
        <v>0</v>
      </c>
      <c r="CC118" s="576">
        <f>CB118</f>
        <v>0</v>
      </c>
      <c r="CD118" s="4"/>
      <c r="CE118" s="4"/>
      <c r="CF118" s="4"/>
      <c r="CG118" s="4"/>
      <c r="CH118" s="4"/>
      <c r="CI118" s="13"/>
    </row>
    <row r="119" spans="1:94" ht="18" customHeight="1">
      <c r="A119" s="1378" t="s">
        <v>10</v>
      </c>
      <c r="B119" s="12"/>
      <c r="C119" s="12"/>
      <c r="D119" s="1379" t="s">
        <v>7</v>
      </c>
      <c r="E119" s="1389">
        <f>IF(H119&gt;0,$CE$97,0)</f>
        <v>0</v>
      </c>
      <c r="F119" s="97"/>
      <c r="G119" s="1010" t="s">
        <v>59</v>
      </c>
      <c r="H119" s="1390">
        <f>IF(B114=0,0,SUBTOTAL(3,B114))</f>
        <v>0</v>
      </c>
      <c r="I119" s="1385" t="s">
        <v>22</v>
      </c>
      <c r="J119" s="1010" t="s">
        <v>59</v>
      </c>
      <c r="K119" s="51">
        <f>IF(H119&gt;0,K116,0)</f>
        <v>0</v>
      </c>
      <c r="L119" s="52" t="s">
        <v>5</v>
      </c>
      <c r="M119" s="1527" t="s">
        <v>122</v>
      </c>
      <c r="N119" s="1548">
        <f>IF(O119=0,0,"―")</f>
        <v>0</v>
      </c>
      <c r="O119" s="1525">
        <f>IF(H119=0,0,IF(BY121=0,IF($D$94=7,BZ120,IF($D$94=5,CA120,IF($D$94=2,CB120,CC120))),IF($D$94=7,BZ120+BZ121,IF($D$94=5,CA120+CA121,IF($D$94=2,CB120+CB121,CC120+CC121)))))</f>
        <v>0</v>
      </c>
      <c r="P119" s="1526"/>
      <c r="Q119" s="1392" t="s">
        <v>130</v>
      </c>
      <c r="R119" s="1391">
        <f>IF(H119&gt;0,IF(K116=0,0,ROUNDDOWN(((E119*H119)*K119/K120)-O119,0)),0)</f>
        <v>0</v>
      </c>
      <c r="S119" s="1520" t="s">
        <v>6</v>
      </c>
      <c r="T119" s="1321" t="s">
        <v>32</v>
      </c>
      <c r="U119" s="1586">
        <f>IF($L$176=$A$176,"限度超過!",U117)</f>
        <v>0</v>
      </c>
      <c r="V119" s="1509" t="s">
        <v>6</v>
      </c>
      <c r="W119" s="30" t="s">
        <v>37</v>
      </c>
      <c r="X119" s="29">
        <f t="shared" si="82"/>
        <v>0</v>
      </c>
      <c r="Y119" s="1313" t="s">
        <v>44</v>
      </c>
      <c r="Z119" s="1420">
        <f>IF($AH$13&gt;0,0,BB119)</f>
        <v>0</v>
      </c>
      <c r="AB119" s="4"/>
      <c r="AC119" s="489"/>
      <c r="AD119" s="4"/>
      <c r="AE119" s="497" t="str">
        <f>IF($AG$2&gt;0,"限度超過",IF(X115+X116+X117+X118+X119+X120+Z115+Z116+Z117+Z118=Z119,"OK","エラー"))</f>
        <v>OK</v>
      </c>
      <c r="AF119" s="1508">
        <f>IF(H119&gt;0,IF(K116=0,0,ROUNDDOWN((E119*H119)-O119,0)),0)</f>
        <v>0</v>
      </c>
      <c r="AG119" s="4"/>
      <c r="AI119" s="174"/>
      <c r="AJ119" s="174"/>
      <c r="AK119" s="174"/>
      <c r="AL119" s="174"/>
      <c r="AM119" s="174"/>
      <c r="AN119" s="173"/>
      <c r="AO119" s="126" t="s">
        <v>37</v>
      </c>
      <c r="AP119" s="344">
        <f>ROUND((AP30-AP207-AP296)*AQ114,0)</f>
        <v>0</v>
      </c>
      <c r="AQ119" s="352" t="s">
        <v>44</v>
      </c>
      <c r="AR119" s="346">
        <f>AP115+AP116+AP117+AP118+AP119+AP120+AR115+AR116+AR117+AR118</f>
        <v>0</v>
      </c>
      <c r="AS119" s="350"/>
      <c r="AT119" s="126" t="s">
        <v>37</v>
      </c>
      <c r="AU119" s="344">
        <f>IF(AV114=0,0,IF(AV114&gt;=6,1,IF(AV114&lt;=-6,-1,0)))</f>
        <v>0</v>
      </c>
      <c r="AV119" s="352" t="s">
        <v>44</v>
      </c>
      <c r="AW119" s="353">
        <f>AU115+AU116+AU117+AU118+AU119+AU120+AW115+AW116+AW117+AW118</f>
        <v>0</v>
      </c>
      <c r="AX119" s="318"/>
      <c r="AY119" s="262" t="s">
        <v>37</v>
      </c>
      <c r="AZ119" s="372">
        <f t="shared" si="78"/>
        <v>0</v>
      </c>
      <c r="BA119" s="320" t="s">
        <v>44</v>
      </c>
      <c r="BB119" s="417">
        <f>IF($AG$2&gt;0,"限度超過",AZ115+AZ116+AZ117+AZ118+AZ119+AZ120+BB115+BB116+BB117+BB118)</f>
        <v>0</v>
      </c>
      <c r="BC119" s="318"/>
      <c r="BD119" s="448" t="s">
        <v>37</v>
      </c>
      <c r="BE119" s="81">
        <f t="shared" si="79"/>
        <v>0</v>
      </c>
      <c r="BF119" s="440" t="s">
        <v>44</v>
      </c>
      <c r="BG119" s="29">
        <f>IF($A$176=$L$176,"限度超過",BE115+BE116+BE117+BE118+BE119+BE120+BG115+BG116+BG117+BG118)</f>
        <v>0</v>
      </c>
      <c r="BH119" s="12"/>
      <c r="BI119" s="30" t="s">
        <v>37</v>
      </c>
      <c r="BJ119" s="29">
        <f t="shared" si="80"/>
        <v>0</v>
      </c>
      <c r="BK119" s="98" t="s">
        <v>44</v>
      </c>
      <c r="BL119" s="29">
        <f>IF($A$176=$L$176,"限度超過",BJ115+BJ116+BJ117+BJ118+BJ119+BJ120+BL115+BL116+BL117+BL118)</f>
        <v>0</v>
      </c>
      <c r="BM119" s="12"/>
      <c r="BN119" s="30" t="s">
        <v>37</v>
      </c>
      <c r="BO119" s="29">
        <f t="shared" si="81"/>
        <v>0</v>
      </c>
      <c r="BP119" s="98" t="s">
        <v>44</v>
      </c>
      <c r="BQ119" s="29">
        <f>IF($A$176=$L$176,"限度超過",BO115+BO116+BO117+BO118+BO119+BO120+BQ115+BQ116+BQ117+BQ118)</f>
        <v>0</v>
      </c>
      <c r="BR119" s="446"/>
      <c r="BS119" s="12"/>
      <c r="BT119" s="12"/>
      <c r="BU119" s="12"/>
      <c r="BV119" s="12"/>
      <c r="BW119" s="12"/>
      <c r="BX119" s="32" t="s">
        <v>26</v>
      </c>
      <c r="BY119" s="26">
        <f>H119</f>
        <v>0</v>
      </c>
      <c r="BZ119" s="99">
        <f t="shared" si="83"/>
        <v>0</v>
      </c>
      <c r="CA119" s="99">
        <f t="shared" si="83"/>
        <v>0</v>
      </c>
      <c r="CB119" s="99">
        <f t="shared" si="83"/>
        <v>0</v>
      </c>
      <c r="CC119" s="576">
        <f>CB119</f>
        <v>0</v>
      </c>
      <c r="CD119" s="4"/>
      <c r="CE119" s="4"/>
      <c r="CF119" s="4"/>
      <c r="CG119" s="4"/>
      <c r="CH119" s="4"/>
      <c r="CI119" s="13"/>
    </row>
    <row r="120" spans="1:94" ht="18" customHeight="1">
      <c r="A120" s="1378"/>
      <c r="B120" s="12"/>
      <c r="C120" s="12"/>
      <c r="D120" s="1379"/>
      <c r="E120" s="1389"/>
      <c r="F120" s="12"/>
      <c r="G120" s="1010"/>
      <c r="H120" s="1390"/>
      <c r="I120" s="1385"/>
      <c r="J120" s="1010"/>
      <c r="K120" s="180">
        <f>IF(H119&gt;0,K117,0)</f>
        <v>0</v>
      </c>
      <c r="L120" s="12" t="s">
        <v>5</v>
      </c>
      <c r="M120" s="1527"/>
      <c r="N120" s="1548"/>
      <c r="O120" s="1526"/>
      <c r="P120" s="1526"/>
      <c r="Q120" s="1392"/>
      <c r="R120" s="1391"/>
      <c r="S120" s="1520"/>
      <c r="T120" s="1582"/>
      <c r="U120" s="1587"/>
      <c r="V120" s="1510"/>
      <c r="W120" s="30" t="s">
        <v>38</v>
      </c>
      <c r="X120" s="29">
        <f t="shared" si="82"/>
        <v>0</v>
      </c>
      <c r="Y120" s="1422"/>
      <c r="Z120" s="1421"/>
      <c r="AA120" s="73"/>
      <c r="AB120" s="73"/>
      <c r="AC120" s="223"/>
      <c r="AD120" s="73"/>
      <c r="AE120" s="73"/>
      <c r="AF120" s="1424"/>
      <c r="AG120" s="73"/>
      <c r="AH120" s="189"/>
      <c r="AI120" s="175"/>
      <c r="AJ120" s="175"/>
      <c r="AK120" s="175"/>
      <c r="AL120" s="175"/>
      <c r="AM120" s="175"/>
      <c r="AN120" s="174"/>
      <c r="AO120" s="126" t="s">
        <v>38</v>
      </c>
      <c r="AP120" s="344">
        <f>ROUND((AP31-AP208-AP297)*AQ114,0)</f>
        <v>0</v>
      </c>
      <c r="AQ120" s="351" t="s">
        <v>75</v>
      </c>
      <c r="AR120" s="330">
        <f>IF($AG$2&gt;0,"限度超過",U119)</f>
        <v>0</v>
      </c>
      <c r="AS120" s="347"/>
      <c r="AT120" s="126" t="s">
        <v>38</v>
      </c>
      <c r="AU120" s="344">
        <f>IF(AV114=0,0,IF(AV114&gt;=5,1,IF(AV114&lt;=-5,-1,0)))</f>
        <v>0</v>
      </c>
      <c r="AV120" s="351"/>
      <c r="AW120" s="354" t="str">
        <f>IF(AU115+AU116+AU117+AU118+AU119+AU120+AW115+AW116+AW117+AW118=AV114,"計算ＯＫ","エラー発生")</f>
        <v>計算ＯＫ</v>
      </c>
      <c r="AX120" s="318"/>
      <c r="AY120" s="262" t="s">
        <v>38</v>
      </c>
      <c r="AZ120" s="372">
        <f t="shared" si="78"/>
        <v>0</v>
      </c>
      <c r="BA120" s="319"/>
      <c r="BB120" s="418">
        <f>IF($AG$2&gt;0,"限度超過",IF($A$176=$L$176,"限度超過",$U$109))</f>
        <v>5500</v>
      </c>
      <c r="BC120" s="318"/>
      <c r="BD120" s="448" t="s">
        <v>38</v>
      </c>
      <c r="BE120" s="81">
        <f t="shared" si="79"/>
        <v>0</v>
      </c>
      <c r="BF120" s="82"/>
      <c r="BG120" s="100"/>
      <c r="BH120" s="12"/>
      <c r="BI120" s="30" t="s">
        <v>38</v>
      </c>
      <c r="BJ120" s="29">
        <f t="shared" si="80"/>
        <v>0</v>
      </c>
      <c r="BK120" s="30"/>
      <c r="BL120" s="100"/>
      <c r="BM120" s="12"/>
      <c r="BN120" s="30" t="s">
        <v>38</v>
      </c>
      <c r="BO120" s="29">
        <f t="shared" si="81"/>
        <v>0</v>
      </c>
      <c r="BP120" s="30"/>
      <c r="BQ120" s="100"/>
      <c r="BR120" s="446"/>
      <c r="BS120" s="12"/>
      <c r="BT120" s="12"/>
      <c r="BU120" s="12"/>
      <c r="BV120" s="12"/>
      <c r="BW120" s="12"/>
      <c r="BX120" s="67" t="s">
        <v>27</v>
      </c>
      <c r="BY120" s="45">
        <f>IF(BY119&gt;0,ROUNDDOWN(BY116*BY119*BY117/BY118,0),0)</f>
        <v>0</v>
      </c>
      <c r="BZ120" s="45">
        <f>IF(BZ119&gt;0,ROUNDDOWN(BZ116*BZ119*BZ117/BZ118,0),0)</f>
        <v>0</v>
      </c>
      <c r="CA120" s="45">
        <f>IF(CA119&gt;0,ROUNDDOWN(CA116*CA119*CA117/CA118,0),0)</f>
        <v>0</v>
      </c>
      <c r="CB120" s="45">
        <f>IF(CB119&gt;0,ROUNDDOWN(CB116*CB119*CB117/CB118,0),0)</f>
        <v>0</v>
      </c>
      <c r="CC120" s="576">
        <v>0</v>
      </c>
      <c r="CD120" s="4"/>
      <c r="CE120" s="4"/>
      <c r="CF120" s="4"/>
      <c r="CG120" s="4"/>
      <c r="CH120" s="4"/>
      <c r="CI120" s="13"/>
    </row>
    <row r="121" spans="1:94" ht="18" customHeight="1">
      <c r="A121" s="200"/>
      <c r="B121" s="75" t="s">
        <v>118</v>
      </c>
      <c r="C121" s="12"/>
      <c r="D121" s="160"/>
      <c r="E121" s="161"/>
      <c r="F121" s="12"/>
      <c r="G121" s="50"/>
      <c r="H121" s="162"/>
      <c r="I121" s="159"/>
      <c r="J121" s="50"/>
      <c r="K121" s="180"/>
      <c r="L121" s="12"/>
      <c r="M121" s="86"/>
      <c r="N121" s="86"/>
      <c r="O121" s="181"/>
      <c r="P121" s="181"/>
      <c r="Q121" s="156"/>
      <c r="R121" s="157"/>
      <c r="S121" s="49"/>
      <c r="T121" s="50"/>
      <c r="U121" s="182"/>
      <c r="V121" s="50"/>
      <c r="W121" s="4"/>
      <c r="X121" s="26"/>
      <c r="Y121" s="170"/>
      <c r="Z121" s="185"/>
      <c r="AA121" s="26"/>
      <c r="AB121" s="26"/>
      <c r="AC121" s="491"/>
      <c r="AD121" s="26"/>
      <c r="AE121" s="486"/>
      <c r="AF121" s="234"/>
      <c r="AG121" s="26"/>
      <c r="AH121" s="26"/>
      <c r="AI121" s="173"/>
      <c r="AJ121" s="179"/>
      <c r="AK121" s="179"/>
      <c r="AL121" s="179"/>
      <c r="AM121" s="179"/>
      <c r="AN121" s="174"/>
      <c r="AO121" s="348"/>
      <c r="AP121" s="348"/>
      <c r="AQ121" s="349"/>
      <c r="AR121" s="349"/>
      <c r="AS121" s="347"/>
      <c r="AT121" s="347"/>
      <c r="AU121" s="347"/>
      <c r="AV121" s="347"/>
      <c r="AW121" s="347"/>
      <c r="AX121" s="318"/>
      <c r="AY121" s="419"/>
      <c r="AZ121" s="348"/>
      <c r="BA121" s="349"/>
      <c r="BB121" s="464" t="str">
        <f>IF(BB119=BB120,"OK","エラー")</f>
        <v>エラー</v>
      </c>
      <c r="BC121" s="318"/>
      <c r="BD121" s="449"/>
      <c r="BF121" s="4" t="s">
        <v>257</v>
      </c>
      <c r="BH121" s="12"/>
      <c r="BM121" s="12"/>
      <c r="BR121" s="446"/>
      <c r="BS121" s="12"/>
      <c r="BT121" s="12"/>
      <c r="BU121" s="12"/>
      <c r="BV121" s="12"/>
      <c r="BW121" s="12"/>
      <c r="BX121" s="32" t="s">
        <v>340</v>
      </c>
      <c r="BY121" s="576">
        <f>IF(入力画面!E17=1,1,0)</f>
        <v>0</v>
      </c>
      <c r="BZ121" s="576">
        <f>IF($BY$121=1,ROUNDDOWN($CF$101*BZ117/BZ118,0),0)</f>
        <v>0</v>
      </c>
      <c r="CA121" s="576">
        <f>IF($BY$121=1,ROUNDDOWN($CG$101*CA117/CA118,0),0)</f>
        <v>0</v>
      </c>
      <c r="CB121" s="576">
        <f>IF($BY$121=1,ROUNDDOWN($CH$101*CB117/CB118,0),0)</f>
        <v>0</v>
      </c>
      <c r="CC121" s="576">
        <f>IF($BY$121=1,ROUNDDOWN($CE$101*CC117/CC118,0),0)</f>
        <v>0</v>
      </c>
      <c r="CD121" s="4"/>
      <c r="CE121" s="4"/>
      <c r="CF121" s="4"/>
      <c r="CG121" s="4"/>
      <c r="CH121" s="4"/>
      <c r="CI121" s="13"/>
    </row>
    <row r="122" spans="1:94" ht="18" customHeight="1">
      <c r="A122" s="58" t="s">
        <v>1</v>
      </c>
      <c r="B122" s="52"/>
      <c r="C122" s="187">
        <f>IF(H119&gt;0,$X$102,0)</f>
        <v>0</v>
      </c>
      <c r="D122" s="201" t="s">
        <v>6</v>
      </c>
      <c r="E122" s="60" t="s">
        <v>131</v>
      </c>
      <c r="F122" s="1377">
        <f>K116</f>
        <v>0</v>
      </c>
      <c r="G122" s="1377"/>
      <c r="H122" s="214" t="s">
        <v>5</v>
      </c>
      <c r="I122" s="1388" t="s">
        <v>14</v>
      </c>
      <c r="J122" s="1388"/>
      <c r="K122" s="1377">
        <f>C122*F122</f>
        <v>0</v>
      </c>
      <c r="L122" s="1377"/>
      <c r="M122" s="202" t="s">
        <v>6</v>
      </c>
      <c r="N122" s="202"/>
      <c r="O122" s="203"/>
      <c r="P122" s="203"/>
      <c r="Q122" s="63"/>
      <c r="R122" s="204"/>
      <c r="S122" s="59"/>
      <c r="T122" s="27"/>
      <c r="U122" s="205"/>
      <c r="V122" s="27"/>
      <c r="W122" s="186"/>
      <c r="X122" s="187"/>
      <c r="Y122" s="206"/>
      <c r="Z122" s="163"/>
      <c r="AA122" s="26"/>
      <c r="AB122" s="26"/>
      <c r="AC122" s="491"/>
      <c r="AD122" s="26"/>
      <c r="AE122" s="486"/>
      <c r="AF122" s="235"/>
      <c r="AG122" s="26"/>
      <c r="AH122" s="26"/>
      <c r="AI122" s="173"/>
      <c r="AJ122" s="179"/>
      <c r="AK122" s="179"/>
      <c r="AL122" s="179"/>
      <c r="AM122" s="179"/>
      <c r="AN122" s="175"/>
      <c r="AO122" s="1407" t="s">
        <v>233</v>
      </c>
      <c r="AP122" s="1407"/>
      <c r="AQ122" s="1407"/>
      <c r="AR122" s="1407"/>
      <c r="AS122" s="347"/>
      <c r="AT122" s="1406" t="s">
        <v>227</v>
      </c>
      <c r="AU122" s="1406"/>
      <c r="AV122" s="347"/>
      <c r="AW122" s="347"/>
      <c r="AX122" s="318"/>
      <c r="AY122" s="1405" t="s">
        <v>227</v>
      </c>
      <c r="AZ122" s="1406"/>
      <c r="BA122" s="349"/>
      <c r="BB122" s="421"/>
      <c r="BC122" s="318"/>
      <c r="BD122" s="1453" t="s">
        <v>227</v>
      </c>
      <c r="BE122" s="1430"/>
      <c r="BF122" s="4" t="s">
        <v>258</v>
      </c>
      <c r="BH122" s="12"/>
      <c r="BI122" s="1430" t="s">
        <v>227</v>
      </c>
      <c r="BJ122" s="1430"/>
      <c r="BM122" s="12"/>
      <c r="BN122" s="1430" t="s">
        <v>227</v>
      </c>
      <c r="BO122" s="1430"/>
      <c r="BR122" s="446"/>
      <c r="BS122" s="12"/>
      <c r="BT122" s="12"/>
      <c r="BU122" s="12"/>
      <c r="BV122" s="12"/>
      <c r="BW122" s="12"/>
      <c r="BX122" s="4"/>
      <c r="BY122" s="26"/>
      <c r="BZ122" s="26"/>
      <c r="CA122" s="26"/>
      <c r="CB122" s="26"/>
      <c r="CC122" s="4"/>
      <c r="CD122" s="4"/>
      <c r="CE122" s="4"/>
      <c r="CF122" s="4"/>
      <c r="CG122" s="4"/>
      <c r="CH122" s="4"/>
      <c r="CI122" s="13"/>
    </row>
    <row r="123" spans="1:94" ht="18" customHeight="1">
      <c r="D123" s="101"/>
      <c r="E123" s="70"/>
      <c r="G123" s="9"/>
      <c r="H123" s="102"/>
      <c r="I123" s="5"/>
      <c r="J123" s="9"/>
      <c r="K123" s="18"/>
      <c r="M123" s="103"/>
      <c r="P123" s="103"/>
      <c r="Q123" s="70"/>
      <c r="R123" s="104"/>
      <c r="S123" s="68"/>
      <c r="T123" s="68"/>
      <c r="U123" s="68"/>
      <c r="V123" s="18"/>
      <c r="AA123" s="26"/>
      <c r="AB123" s="26"/>
      <c r="AC123" s="491"/>
      <c r="AD123" s="26"/>
      <c r="AE123" s="486"/>
      <c r="AF123" s="231"/>
      <c r="AG123" s="26"/>
      <c r="AH123" s="26"/>
      <c r="AI123" s="173"/>
      <c r="AJ123" s="173"/>
      <c r="AK123" s="173"/>
      <c r="AL123" s="173"/>
      <c r="AM123" s="173"/>
      <c r="AN123" s="173"/>
      <c r="AO123" s="367" t="s">
        <v>217</v>
      </c>
      <c r="AP123" s="1401" t="s">
        <v>232</v>
      </c>
      <c r="AQ123" s="1401"/>
      <c r="AR123" s="1401"/>
      <c r="AS123" s="369"/>
      <c r="AT123" s="1413" t="s">
        <v>218</v>
      </c>
      <c r="AU123" s="1413"/>
      <c r="AV123" s="1413"/>
      <c r="AW123" s="1413"/>
      <c r="AX123" s="318"/>
      <c r="AY123" s="416" t="s">
        <v>224</v>
      </c>
      <c r="AZ123" s="1448" t="s">
        <v>223</v>
      </c>
      <c r="BA123" s="1448"/>
      <c r="BB123" s="1449"/>
      <c r="BC123" s="318"/>
      <c r="BD123" s="1426" t="s">
        <v>261</v>
      </c>
      <c r="BE123" s="1427"/>
      <c r="BF123" s="1427"/>
      <c r="BG123" s="1427"/>
      <c r="BH123" s="12"/>
      <c r="BI123" s="437" t="s">
        <v>262</v>
      </c>
      <c r="BJ123" s="1438" t="s">
        <v>260</v>
      </c>
      <c r="BK123" s="1438"/>
      <c r="BL123" s="1438"/>
      <c r="BM123" s="12"/>
      <c r="BN123" s="12"/>
      <c r="BO123" s="143" t="s">
        <v>263</v>
      </c>
      <c r="BP123" s="12" t="s">
        <v>88</v>
      </c>
      <c r="BQ123" s="12"/>
      <c r="BR123" s="446"/>
      <c r="BS123" s="12"/>
      <c r="BT123" s="12"/>
      <c r="BU123" s="12"/>
      <c r="BV123" s="12"/>
      <c r="BW123" s="12"/>
      <c r="BX123" s="4"/>
      <c r="BY123" s="4"/>
      <c r="BZ123" s="4"/>
      <c r="CA123" s="4"/>
      <c r="CB123" s="4"/>
      <c r="CC123" s="4"/>
      <c r="CD123" s="4"/>
      <c r="CE123" s="4"/>
      <c r="CF123" s="4"/>
      <c r="CG123" s="4"/>
      <c r="CH123" s="4"/>
      <c r="CI123" s="13"/>
    </row>
    <row r="124" spans="1:94" ht="18" customHeight="1">
      <c r="A124" s="194" t="s">
        <v>53</v>
      </c>
      <c r="B124" s="1396">
        <f>B35</f>
        <v>0</v>
      </c>
      <c r="C124" s="1396"/>
      <c r="D124" s="1396"/>
      <c r="E124" s="196" t="s">
        <v>11</v>
      </c>
      <c r="F124" s="1398" t="s">
        <v>57</v>
      </c>
      <c r="G124" s="1398"/>
      <c r="H124" s="1399"/>
      <c r="I124" s="1380">
        <f>IF(I35=1,1,0)</f>
        <v>0</v>
      </c>
      <c r="J124" s="1381"/>
      <c r="K124" s="1515">
        <f>IF(H129=0,0,IF($K$97=0, "加入月が未入力です!！",IF($L$176=$A$176,"限度超過額に達しているため計算不可能!!",IF(U126-U125=U127,"エラー名前を入力されているが加入月未入力!！",IF(H129&gt;K126,"加入月未入力エラー!！",0)))))</f>
        <v>0</v>
      </c>
      <c r="L124" s="1516"/>
      <c r="M124" s="1516"/>
      <c r="N124" s="1516"/>
      <c r="O124" s="1516"/>
      <c r="P124" s="1516"/>
      <c r="Q124" s="1516"/>
      <c r="R124" s="1516"/>
      <c r="S124" s="1517"/>
      <c r="T124" s="195" t="s">
        <v>47</v>
      </c>
      <c r="U124" s="1417">
        <f>IF(U129&gt;0,"支援分",0)</f>
        <v>0</v>
      </c>
      <c r="V124" s="1418"/>
      <c r="W124" s="1419" t="s">
        <v>46</v>
      </c>
      <c r="X124" s="1278"/>
      <c r="Y124" s="1278"/>
      <c r="Z124" s="1279"/>
      <c r="AA124" s="26"/>
      <c r="AB124" s="26"/>
      <c r="AC124" s="491"/>
      <c r="AD124" s="26"/>
      <c r="AE124" s="486"/>
      <c r="AF124" s="236" t="s">
        <v>117</v>
      </c>
      <c r="AG124" s="26"/>
      <c r="AH124" s="274">
        <f>IF(K126=0,0,IF(K126&lt;12,1,0))</f>
        <v>0</v>
      </c>
      <c r="AI124" s="173"/>
      <c r="AJ124" s="173"/>
      <c r="AK124" s="173"/>
      <c r="AL124" s="173"/>
      <c r="AM124" s="173"/>
      <c r="AN124" s="366" t="s">
        <v>146</v>
      </c>
      <c r="AO124" s="1319" t="s">
        <v>220</v>
      </c>
      <c r="AP124" s="1402"/>
      <c r="AQ124" s="1403">
        <f>IF(AR40=0,0,ROUNDDOWN(AR130/(AW41+AR130),8))</f>
        <v>0</v>
      </c>
      <c r="AR124" s="1404"/>
      <c r="AS124" s="370"/>
      <c r="AT124" s="1319" t="s">
        <v>213</v>
      </c>
      <c r="AU124" s="1402"/>
      <c r="AV124" s="1411">
        <f>IF($AG$2&gt;0,0,AR130-AR129)</f>
        <v>0</v>
      </c>
      <c r="AW124" s="1412"/>
      <c r="AX124" s="318"/>
      <c r="AY124" s="1408" t="s">
        <v>46</v>
      </c>
      <c r="AZ124" s="1402"/>
      <c r="BA124" s="1450">
        <f>IF(R126+R129=0,0,IF(K127&gt;K126,"期割がアンマッチ使用禁止↓",0))</f>
        <v>0</v>
      </c>
      <c r="BB124" s="1451"/>
      <c r="BC124" s="318"/>
      <c r="BD124" s="1435" t="s">
        <v>46</v>
      </c>
      <c r="BE124" s="1434"/>
      <c r="BF124" s="1436" t="s">
        <v>87</v>
      </c>
      <c r="BG124" s="1437"/>
      <c r="BH124" s="12"/>
      <c r="BI124" s="1253" t="s">
        <v>89</v>
      </c>
      <c r="BJ124" s="1434"/>
      <c r="BK124" s="438"/>
      <c r="BL124" s="439"/>
      <c r="BM124" s="12"/>
      <c r="BN124" s="1253" t="s">
        <v>46</v>
      </c>
      <c r="BO124" s="1434"/>
      <c r="BP124" s="1431"/>
      <c r="BQ124" s="1433"/>
      <c r="BR124" s="446"/>
      <c r="BS124" s="12"/>
      <c r="BT124" s="12"/>
      <c r="BU124" s="12"/>
      <c r="BV124" s="12"/>
      <c r="BW124" s="12"/>
      <c r="BX124" s="4"/>
      <c r="BY124" s="4"/>
      <c r="BZ124" s="4"/>
      <c r="CA124" s="4"/>
      <c r="CB124" s="4"/>
      <c r="CC124" s="4"/>
      <c r="CD124" s="4"/>
      <c r="CE124" s="4"/>
      <c r="CF124" s="4"/>
      <c r="CG124" s="4"/>
      <c r="CH124" s="4"/>
      <c r="CI124" s="13"/>
    </row>
    <row r="125" spans="1:94" ht="18" customHeight="1">
      <c r="A125" s="165"/>
      <c r="B125" s="12"/>
      <c r="C125" s="75" t="s">
        <v>33</v>
      </c>
      <c r="D125" s="12"/>
      <c r="E125" s="12"/>
      <c r="F125" s="1394" t="s">
        <v>433</v>
      </c>
      <c r="G125" s="1394"/>
      <c r="H125" s="1394"/>
      <c r="I125" s="1380">
        <f>IF(I36=1,1,0)</f>
        <v>0</v>
      </c>
      <c r="J125" s="1381"/>
      <c r="K125" s="76" t="s">
        <v>9</v>
      </c>
      <c r="L125" s="12"/>
      <c r="M125" s="1551"/>
      <c r="N125" s="1551"/>
      <c r="O125" s="1551"/>
      <c r="P125" s="1551"/>
      <c r="Q125" s="1551"/>
      <c r="R125" s="1551"/>
      <c r="S125" s="1552"/>
      <c r="T125" s="72" t="s">
        <v>30</v>
      </c>
      <c r="U125" s="105">
        <f>R126+R129</f>
        <v>0</v>
      </c>
      <c r="V125" s="88" t="s">
        <v>6</v>
      </c>
      <c r="W125" s="80" t="s">
        <v>34</v>
      </c>
      <c r="X125" s="29">
        <f>IF($AH$13&gt;0,0,AZ125)</f>
        <v>0</v>
      </c>
      <c r="Y125" s="80" t="s">
        <v>39</v>
      </c>
      <c r="Z125" s="31">
        <f>IF($AH$13&gt;0,0,BB125)</f>
        <v>0</v>
      </c>
      <c r="AA125" s="26"/>
      <c r="AB125" s="26"/>
      <c r="AC125" s="491"/>
      <c r="AD125" s="26"/>
      <c r="AE125" s="486"/>
      <c r="AF125" s="217">
        <f>AF126+AF129+AF132</f>
        <v>0</v>
      </c>
      <c r="AG125" s="26"/>
      <c r="AH125" s="26"/>
      <c r="AI125" s="173"/>
      <c r="AJ125" s="173"/>
      <c r="AK125" s="173"/>
      <c r="AL125" s="173"/>
      <c r="AM125" s="173"/>
      <c r="AN125" s="173"/>
      <c r="AO125" s="126" t="s">
        <v>34</v>
      </c>
      <c r="AP125" s="344">
        <f>ROUND((AP36-AP302)*AQ124,0)</f>
        <v>0</v>
      </c>
      <c r="AQ125" s="351" t="s">
        <v>39</v>
      </c>
      <c r="AR125" s="345">
        <f>ROUND((AR36-AR302)*AQ124,0)</f>
        <v>0</v>
      </c>
      <c r="AS125" s="371"/>
      <c r="AT125" s="126" t="s">
        <v>34</v>
      </c>
      <c r="AU125" s="344">
        <f>IF(AV124=0,0,IF(AV124&gt;=10,1,IF(AV124&lt;=-10,-1,0)))</f>
        <v>0</v>
      </c>
      <c r="AV125" s="351" t="s">
        <v>39</v>
      </c>
      <c r="AW125" s="345">
        <f>IF(AV124=0,0,IF(AV124&gt;=4,1,IF(AV124&lt;=-4,-1,0)))</f>
        <v>0</v>
      </c>
      <c r="AX125" s="318"/>
      <c r="AY125" s="258" t="s">
        <v>34</v>
      </c>
      <c r="AZ125" s="372">
        <f t="shared" ref="AZ125:AZ130" si="84">IF($AG$2&gt;0,"限度超過",IF($A$176=$L$176,"限度超過",AP125+AU125))</f>
        <v>0</v>
      </c>
      <c r="BA125" s="319" t="s">
        <v>39</v>
      </c>
      <c r="BB125" s="127">
        <f>IF($AG$2&gt;0,"限度超過",IF($A$176=$L$176,"限度超過",AR125+AW125))</f>
        <v>0</v>
      </c>
      <c r="BC125" s="318"/>
      <c r="BD125" s="448" t="s">
        <v>34</v>
      </c>
      <c r="BE125" s="81">
        <f t="shared" ref="BE125:BE130" si="85">BE115</f>
        <v>0</v>
      </c>
      <c r="BF125" s="82" t="s">
        <v>39</v>
      </c>
      <c r="BG125" s="29">
        <f>BG115</f>
        <v>0</v>
      </c>
      <c r="BH125" s="12"/>
      <c r="BI125" s="80" t="s">
        <v>34</v>
      </c>
      <c r="BJ125" s="29">
        <f t="shared" ref="BJ125:BJ130" si="86">IF($A$176=$L$176,"限度超過",IF(BE125=0,0,BE125/$S$94))</f>
        <v>0</v>
      </c>
      <c r="BK125" s="80" t="s">
        <v>39</v>
      </c>
      <c r="BL125" s="29">
        <f>IF($A$176=$L$176,"限度超過",IF(BG125=0,0,BG125/$S$94))</f>
        <v>0</v>
      </c>
      <c r="BM125" s="12"/>
      <c r="BN125" s="30" t="s">
        <v>34</v>
      </c>
      <c r="BO125" s="29">
        <f t="shared" ref="BO125:BO130" si="87">IF($A$176=$L$176,"限度超過",IF($S$94&lt;=2,0,BJ125))</f>
        <v>0</v>
      </c>
      <c r="BP125" s="80" t="s">
        <v>39</v>
      </c>
      <c r="BQ125" s="29">
        <f>IF($A$176=$L$176,"限度超過",IF($S$94&lt;=2,0,BL125))</f>
        <v>0</v>
      </c>
      <c r="BR125" s="446"/>
      <c r="BS125" s="12"/>
      <c r="BT125" s="12"/>
      <c r="BU125" s="12"/>
      <c r="BV125" s="12"/>
      <c r="BW125" s="12"/>
      <c r="BX125" s="32"/>
      <c r="BY125" s="33" t="str">
        <f>BY115</f>
        <v>料率</v>
      </c>
      <c r="BZ125" s="33">
        <f>BZ115</f>
        <v>7</v>
      </c>
      <c r="CA125" s="33">
        <f>CA115</f>
        <v>5</v>
      </c>
      <c r="CB125" s="33">
        <f>CB115</f>
        <v>2</v>
      </c>
      <c r="CC125" s="576" t="s">
        <v>341</v>
      </c>
      <c r="CD125" s="4"/>
      <c r="CE125" s="4"/>
      <c r="CF125" s="4"/>
      <c r="CG125" s="4"/>
      <c r="CH125" s="4"/>
      <c r="CI125" s="13"/>
    </row>
    <row r="126" spans="1:94" ht="18" customHeight="1">
      <c r="A126" s="1378" t="s">
        <v>0</v>
      </c>
      <c r="B126" s="1556" t="s">
        <v>129</v>
      </c>
      <c r="C126" s="1382">
        <f>C37</f>
        <v>0</v>
      </c>
      <c r="D126" s="1010" t="s">
        <v>58</v>
      </c>
      <c r="E126" s="1389">
        <f>IF(H129&gt;0,$CE$100, 0)</f>
        <v>0</v>
      </c>
      <c r="F126" s="1395" t="s">
        <v>22</v>
      </c>
      <c r="G126" s="1010" t="s">
        <v>59</v>
      </c>
      <c r="H126" s="85">
        <f>IF(H129&gt;0,$CE$96,0)</f>
        <v>0</v>
      </c>
      <c r="I126" s="1385" t="s">
        <v>22</v>
      </c>
      <c r="J126" s="1010" t="s">
        <v>59</v>
      </c>
      <c r="K126" s="51">
        <f>K37</f>
        <v>0</v>
      </c>
      <c r="L126" s="52" t="s">
        <v>5</v>
      </c>
      <c r="M126" s="1395"/>
      <c r="N126" s="1527"/>
      <c r="O126" s="86"/>
      <c r="P126" s="1392" t="s">
        <v>130</v>
      </c>
      <c r="Q126" s="1392"/>
      <c r="R126" s="1391">
        <f>ROUNDDOWN(IF(((C126-E126)*H126/H127)*K126/K127&lt;0,0,((C126-E126)*H126/H127)*K126/K127),0)</f>
        <v>0</v>
      </c>
      <c r="S126" s="1520" t="s">
        <v>6</v>
      </c>
      <c r="T126" s="72" t="s">
        <v>1</v>
      </c>
      <c r="U126" s="105">
        <f>IF(H129=0,0,K132)</f>
        <v>0</v>
      </c>
      <c r="V126" s="88" t="s">
        <v>6</v>
      </c>
      <c r="W126" s="30" t="s">
        <v>35</v>
      </c>
      <c r="X126" s="29">
        <f t="shared" ref="X126:X130" si="88">IF($AH$13&gt;0,0,AZ126)</f>
        <v>0</v>
      </c>
      <c r="Y126" s="30" t="s">
        <v>40</v>
      </c>
      <c r="Z126" s="31">
        <f>IF($AH$13&gt;0,0,BB126)</f>
        <v>0</v>
      </c>
      <c r="AA126" s="4"/>
      <c r="AB126" s="4"/>
      <c r="AC126" s="489"/>
      <c r="AD126" s="4"/>
      <c r="AE126" s="74"/>
      <c r="AF126" s="1423">
        <f>ROUNDDOWN(IF(((C126-E126)*H126/H127)&lt;0,0,((C126-E126)*H126/H127)),0)</f>
        <v>0</v>
      </c>
      <c r="AG126" s="4"/>
      <c r="AH126" s="4"/>
      <c r="AI126" s="174"/>
      <c r="AJ126" s="174"/>
      <c r="AK126" s="174"/>
      <c r="AL126" s="174"/>
      <c r="AM126" s="174"/>
      <c r="AN126" s="173"/>
      <c r="AO126" s="126" t="s">
        <v>35</v>
      </c>
      <c r="AP126" s="344">
        <f>ROUND((AP37-AP303)*AQ124,0)</f>
        <v>0</v>
      </c>
      <c r="AQ126" s="351" t="s">
        <v>40</v>
      </c>
      <c r="AR126" s="345">
        <f>ROUND((AR37-AR303)*AQ124,0)</f>
        <v>0</v>
      </c>
      <c r="AS126" s="371"/>
      <c r="AT126" s="126" t="s">
        <v>35</v>
      </c>
      <c r="AU126" s="344">
        <f>IF(AV124=0,0,IF(AV124&gt;=9,1,IF(AV124&lt;=-9,-1,0)))</f>
        <v>0</v>
      </c>
      <c r="AV126" s="351" t="s">
        <v>40</v>
      </c>
      <c r="AW126" s="345">
        <f>IF(AV124=0,0,IF(AV124&gt;=3,1,IF(AV124&lt;=-3,-1,0)))</f>
        <v>0</v>
      </c>
      <c r="AX126" s="318"/>
      <c r="AY126" s="262" t="s">
        <v>35</v>
      </c>
      <c r="AZ126" s="372">
        <f t="shared" si="84"/>
        <v>0</v>
      </c>
      <c r="BA126" s="319" t="s">
        <v>40</v>
      </c>
      <c r="BB126" s="127">
        <f>IF($AG$2&gt;0,"限度超過",IF($A$176=$L$176,"限度超過",AR126+AW126))</f>
        <v>0</v>
      </c>
      <c r="BC126" s="318"/>
      <c r="BD126" s="448" t="s">
        <v>35</v>
      </c>
      <c r="BE126" s="81">
        <f t="shared" si="85"/>
        <v>0</v>
      </c>
      <c r="BF126" s="82" t="s">
        <v>40</v>
      </c>
      <c r="BG126" s="29">
        <f>BG116</f>
        <v>0</v>
      </c>
      <c r="BH126" s="12"/>
      <c r="BI126" s="30" t="s">
        <v>35</v>
      </c>
      <c r="BJ126" s="29">
        <f t="shared" si="86"/>
        <v>0</v>
      </c>
      <c r="BK126" s="30" t="s">
        <v>40</v>
      </c>
      <c r="BL126" s="29">
        <f>IF($A$176=$L$176,"限度超過",IF(BG126=0,0,BG126/$S$94))</f>
        <v>0</v>
      </c>
      <c r="BM126" s="12"/>
      <c r="BN126" s="30" t="s">
        <v>35</v>
      </c>
      <c r="BO126" s="29">
        <f t="shared" si="87"/>
        <v>0</v>
      </c>
      <c r="BP126" s="30" t="s">
        <v>40</v>
      </c>
      <c r="BQ126" s="29">
        <f>IF($A$176=$L$176,"限度超過",IF($S$94&lt;=2,0,BL126))</f>
        <v>0</v>
      </c>
      <c r="BR126" s="446"/>
      <c r="BS126" s="12"/>
      <c r="BT126" s="12"/>
      <c r="BU126" s="12"/>
      <c r="BV126" s="12"/>
      <c r="BW126" s="12"/>
      <c r="BX126" s="32" t="s">
        <v>17</v>
      </c>
      <c r="BY126" s="44">
        <v>0</v>
      </c>
      <c r="BZ126" s="45">
        <f>$CF$97</f>
        <v>6440</v>
      </c>
      <c r="CA126" s="45">
        <f>$CG$97</f>
        <v>4600</v>
      </c>
      <c r="CB126" s="45">
        <f>$CH$97</f>
        <v>1840</v>
      </c>
      <c r="CC126" s="576"/>
      <c r="CD126" s="4"/>
      <c r="CE126" s="4"/>
      <c r="CF126" s="4"/>
      <c r="CG126" s="4"/>
      <c r="CH126" s="4"/>
      <c r="CI126" s="13"/>
    </row>
    <row r="127" spans="1:94" ht="18" customHeight="1">
      <c r="A127" s="1378"/>
      <c r="B127" s="1556"/>
      <c r="C127" s="1382"/>
      <c r="D127" s="1010"/>
      <c r="E127" s="1389"/>
      <c r="F127" s="1395"/>
      <c r="G127" s="1010"/>
      <c r="H127" s="39">
        <v>100</v>
      </c>
      <c r="I127" s="1385"/>
      <c r="J127" s="1010"/>
      <c r="K127" s="55">
        <v>12</v>
      </c>
      <c r="L127" s="12" t="s">
        <v>5</v>
      </c>
      <c r="M127" s="1395"/>
      <c r="N127" s="1527"/>
      <c r="O127" s="86"/>
      <c r="P127" s="1392"/>
      <c r="Q127" s="1392"/>
      <c r="R127" s="1391"/>
      <c r="S127" s="1520"/>
      <c r="T127" s="72" t="s">
        <v>29</v>
      </c>
      <c r="U127" s="105">
        <f>U125+U126</f>
        <v>0</v>
      </c>
      <c r="V127" s="88" t="s">
        <v>6</v>
      </c>
      <c r="W127" s="30" t="s">
        <v>36</v>
      </c>
      <c r="X127" s="29">
        <f t="shared" si="88"/>
        <v>0</v>
      </c>
      <c r="Y127" s="30" t="s">
        <v>41</v>
      </c>
      <c r="Z127" s="31">
        <f>IF($AH$13&gt;0,0,BB127)</f>
        <v>0</v>
      </c>
      <c r="AB127" s="4"/>
      <c r="AC127" s="489"/>
      <c r="AD127" s="4"/>
      <c r="AE127" s="74"/>
      <c r="AF127" s="1424"/>
      <c r="AG127" s="4"/>
      <c r="AH127" s="4"/>
      <c r="AI127" s="174"/>
      <c r="AJ127" s="174"/>
      <c r="AK127" s="174"/>
      <c r="AL127" s="174"/>
      <c r="AM127" s="174"/>
      <c r="AN127" s="173"/>
      <c r="AO127" s="126" t="s">
        <v>36</v>
      </c>
      <c r="AP127" s="344">
        <f>ROUND((AP38-AP304)*AQ124,0)</f>
        <v>0</v>
      </c>
      <c r="AQ127" s="351" t="s">
        <v>41</v>
      </c>
      <c r="AR127" s="345">
        <f>ROUND((AR38-AR304)*AQ124,0)</f>
        <v>0</v>
      </c>
      <c r="AS127" s="350"/>
      <c r="AT127" s="126" t="s">
        <v>36</v>
      </c>
      <c r="AU127" s="344">
        <f>IF(AV124=0,0,IF(AV124&gt;=8,1,IF(AV124&lt;=-8,-1,0)))</f>
        <v>0</v>
      </c>
      <c r="AV127" s="351" t="s">
        <v>41</v>
      </c>
      <c r="AW127" s="345">
        <f>IF(AV124=0,0,IF(AV124&gt;=2,1,IF(AV124&lt;=-2,-1,0)))</f>
        <v>0</v>
      </c>
      <c r="AX127" s="318"/>
      <c r="AY127" s="262" t="s">
        <v>36</v>
      </c>
      <c r="AZ127" s="372">
        <f t="shared" si="84"/>
        <v>0</v>
      </c>
      <c r="BA127" s="319" t="s">
        <v>41</v>
      </c>
      <c r="BB127" s="127">
        <f>IF($AG$2&gt;0,"限度超過",IF($A$176=$L$176,"限度超過",AR127+AW127))</f>
        <v>0</v>
      </c>
      <c r="BC127" s="318"/>
      <c r="BD127" s="448" t="s">
        <v>36</v>
      </c>
      <c r="BE127" s="81">
        <f t="shared" si="85"/>
        <v>0</v>
      </c>
      <c r="BF127" s="82" t="s">
        <v>41</v>
      </c>
      <c r="BG127" s="29">
        <f>BG117</f>
        <v>0</v>
      </c>
      <c r="BH127" s="12"/>
      <c r="BI127" s="30" t="s">
        <v>36</v>
      </c>
      <c r="BJ127" s="29">
        <f t="shared" si="86"/>
        <v>0</v>
      </c>
      <c r="BK127" s="30" t="s">
        <v>41</v>
      </c>
      <c r="BL127" s="29">
        <f>IF($A$176=$L$176,"限度超過",IF(BG127=0,0,BG127/$S$94))</f>
        <v>0</v>
      </c>
      <c r="BM127" s="12"/>
      <c r="BN127" s="30" t="s">
        <v>36</v>
      </c>
      <c r="BO127" s="29">
        <f t="shared" si="87"/>
        <v>0</v>
      </c>
      <c r="BP127" s="30" t="s">
        <v>41</v>
      </c>
      <c r="BQ127" s="29">
        <f>IF($A$176=$L$176,"限度超過",IF($S$94&lt;=2,0,BL127))</f>
        <v>0</v>
      </c>
      <c r="BR127" s="446"/>
      <c r="BS127" s="12"/>
      <c r="BT127" s="12"/>
      <c r="BU127" s="12"/>
      <c r="BV127" s="12"/>
      <c r="BW127" s="12"/>
      <c r="BX127" s="32" t="s">
        <v>8</v>
      </c>
      <c r="BY127" s="45">
        <f>K129</f>
        <v>0</v>
      </c>
      <c r="BZ127" s="45">
        <f t="shared" ref="BZ127:CB129" si="89">BY127</f>
        <v>0</v>
      </c>
      <c r="CA127" s="45">
        <f t="shared" si="89"/>
        <v>0</v>
      </c>
      <c r="CB127" s="45">
        <f t="shared" si="89"/>
        <v>0</v>
      </c>
      <c r="CC127" s="576">
        <f>CB127</f>
        <v>0</v>
      </c>
      <c r="CD127" s="4"/>
      <c r="CE127" s="4"/>
      <c r="CF127" s="4"/>
      <c r="CG127" s="4"/>
      <c r="CH127" s="4"/>
      <c r="CI127" s="13"/>
    </row>
    <row r="128" spans="1:94" ht="18" customHeight="1">
      <c r="A128" s="165"/>
      <c r="B128" s="12"/>
      <c r="C128" s="50"/>
      <c r="D128" s="12"/>
      <c r="E128" s="12"/>
      <c r="F128" s="12"/>
      <c r="G128" s="12"/>
      <c r="H128" s="91"/>
      <c r="I128" s="75"/>
      <c r="J128" s="75"/>
      <c r="K128" s="92"/>
      <c r="L128" s="75"/>
      <c r="M128" s="93"/>
      <c r="N128" s="578">
        <f>IF(入力画面!E22=1,"未就学児",0)</f>
        <v>0</v>
      </c>
      <c r="O128" s="42">
        <f>IF(H129=0,0,$D$94)</f>
        <v>0</v>
      </c>
      <c r="P128" s="463">
        <f>IF(O129=0,0,"軽減額")</f>
        <v>0</v>
      </c>
      <c r="Q128" s="12"/>
      <c r="R128" s="95"/>
      <c r="S128" s="49"/>
      <c r="T128" s="96" t="s">
        <v>31</v>
      </c>
      <c r="U128" s="105">
        <f>ROUNDDOWN(U127,-2)</f>
        <v>0</v>
      </c>
      <c r="V128" s="88" t="s">
        <v>6</v>
      </c>
      <c r="W128" s="30" t="s">
        <v>43</v>
      </c>
      <c r="X128" s="29">
        <f t="shared" si="88"/>
        <v>0</v>
      </c>
      <c r="Y128" s="30" t="s">
        <v>42</v>
      </c>
      <c r="Z128" s="31">
        <f>IF($AH$13&gt;0,0,BB128)</f>
        <v>0</v>
      </c>
      <c r="AA128" s="73"/>
      <c r="AB128" s="73"/>
      <c r="AC128" s="223"/>
      <c r="AD128" s="73"/>
      <c r="AE128" s="497" t="str">
        <f>IF($AH$13&gt;0,"－",IF($AG$2&gt;0,"限度超過",IF(U129=Z129,"OK","ｱﾝﾏｯﾁ")))</f>
        <v>OK</v>
      </c>
      <c r="AF128" s="496"/>
      <c r="AG128" s="73"/>
      <c r="AI128" s="175"/>
      <c r="AJ128" s="175"/>
      <c r="AK128" s="175"/>
      <c r="AL128" s="175"/>
      <c r="AM128" s="175"/>
      <c r="AN128" s="174"/>
      <c r="AO128" s="126" t="s">
        <v>43</v>
      </c>
      <c r="AP128" s="344">
        <f>ROUND((AP39-AP305)*AQ124,0)</f>
        <v>0</v>
      </c>
      <c r="AQ128" s="351" t="s">
        <v>42</v>
      </c>
      <c r="AR128" s="345">
        <f>ROUND((AR39-AR305)*AQ124,0)</f>
        <v>0</v>
      </c>
      <c r="AS128" s="350"/>
      <c r="AT128" s="126" t="s">
        <v>43</v>
      </c>
      <c r="AU128" s="344">
        <f>IF(AV124=0,0,IF(AV124&gt;=7,1,IF(AV124&lt;=-7,-1,0)))</f>
        <v>0</v>
      </c>
      <c r="AV128" s="351" t="s">
        <v>42</v>
      </c>
      <c r="AW128" s="345">
        <f>IF(AV124=0,0,IF(AV124&gt;=1,1,IF(AV124&lt;=-1,-1,0)))</f>
        <v>0</v>
      </c>
      <c r="AX128" s="318"/>
      <c r="AY128" s="262" t="s">
        <v>43</v>
      </c>
      <c r="AZ128" s="372">
        <f t="shared" si="84"/>
        <v>0</v>
      </c>
      <c r="BA128" s="319" t="s">
        <v>42</v>
      </c>
      <c r="BB128" s="127">
        <f>IF($AG$2&gt;0,"限度超過",IF($A$176=$L$176,"限度超過",AR128+AW128))</f>
        <v>0</v>
      </c>
      <c r="BC128" s="318"/>
      <c r="BD128" s="448" t="s">
        <v>43</v>
      </c>
      <c r="BE128" s="81">
        <f t="shared" si="85"/>
        <v>0</v>
      </c>
      <c r="BF128" s="82" t="s">
        <v>42</v>
      </c>
      <c r="BG128" s="29">
        <f>BG118</f>
        <v>0</v>
      </c>
      <c r="BH128" s="12"/>
      <c r="BI128" s="30" t="s">
        <v>43</v>
      </c>
      <c r="BJ128" s="29">
        <f t="shared" si="86"/>
        <v>0</v>
      </c>
      <c r="BK128" s="30" t="s">
        <v>42</v>
      </c>
      <c r="BL128" s="29">
        <f>IF($A$176=$L$176,"限度超過",IF(BG128=0,0,BG128/$S$94))</f>
        <v>0</v>
      </c>
      <c r="BM128" s="12"/>
      <c r="BN128" s="30" t="s">
        <v>43</v>
      </c>
      <c r="BO128" s="29">
        <f t="shared" si="87"/>
        <v>0</v>
      </c>
      <c r="BP128" s="30" t="s">
        <v>42</v>
      </c>
      <c r="BQ128" s="29">
        <f>IF($A$176=$L$176,"限度超過",IF($S$94&lt;=2,0,BL128))</f>
        <v>0</v>
      </c>
      <c r="BR128" s="446"/>
      <c r="BS128" s="12"/>
      <c r="BT128" s="12"/>
      <c r="BU128" s="12"/>
      <c r="BV128" s="12"/>
      <c r="BW128" s="12"/>
      <c r="BX128" s="32" t="s">
        <v>25</v>
      </c>
      <c r="BY128" s="45">
        <f>K130</f>
        <v>0</v>
      </c>
      <c r="BZ128" s="45">
        <f t="shared" si="89"/>
        <v>0</v>
      </c>
      <c r="CA128" s="45">
        <f t="shared" si="89"/>
        <v>0</v>
      </c>
      <c r="CB128" s="45">
        <f t="shared" si="89"/>
        <v>0</v>
      </c>
      <c r="CC128" s="576">
        <f>CB128</f>
        <v>0</v>
      </c>
      <c r="CD128" s="4"/>
      <c r="CE128" s="4"/>
      <c r="CF128" s="4"/>
      <c r="CG128" s="4"/>
      <c r="CH128" s="4"/>
      <c r="CI128" s="13"/>
    </row>
    <row r="129" spans="1:87" ht="18" customHeight="1">
      <c r="A129" s="1378" t="s">
        <v>10</v>
      </c>
      <c r="B129" s="12"/>
      <c r="C129" s="12"/>
      <c r="D129" s="1379" t="s">
        <v>7</v>
      </c>
      <c r="E129" s="1389">
        <f>IF(H129&gt;0,$CE$97,0)</f>
        <v>0</v>
      </c>
      <c r="F129" s="97"/>
      <c r="G129" s="1010" t="s">
        <v>59</v>
      </c>
      <c r="H129" s="1390">
        <f>IF(B124=0,0,SUBTOTAL(3,B124))</f>
        <v>0</v>
      </c>
      <c r="I129" s="1385" t="s">
        <v>22</v>
      </c>
      <c r="J129" s="1010" t="s">
        <v>59</v>
      </c>
      <c r="K129" s="51">
        <f>IF(H129&gt;0,K126,0)</f>
        <v>0</v>
      </c>
      <c r="L129" s="52" t="s">
        <v>5</v>
      </c>
      <c r="M129" s="1527" t="s">
        <v>122</v>
      </c>
      <c r="N129" s="1548">
        <f>IF(O129=0,0,"―")</f>
        <v>0</v>
      </c>
      <c r="O129" s="1525">
        <f>IF(H129=0,0,IF(BY131=0,IF($D$94=7,BZ130,IF($D$94=5,CA130,IF($D$94=2,CB130,CC130))),IF($D$94=7,BZ130+BZ131,IF($D$94=5,CA130+CA131,IF($D$94=2,CB130+CB131,CC130+CC131)))))</f>
        <v>0</v>
      </c>
      <c r="P129" s="1526"/>
      <c r="Q129" s="1392" t="s">
        <v>130</v>
      </c>
      <c r="R129" s="1391">
        <f>IF(H129&gt;0,IF(K126=0,0,ROUNDDOWN(((E129*H129)*K129/K130)-O129,0)),0)</f>
        <v>0</v>
      </c>
      <c r="S129" s="1520" t="s">
        <v>6</v>
      </c>
      <c r="T129" s="1321" t="s">
        <v>32</v>
      </c>
      <c r="U129" s="1586">
        <f>IF($L$176=$A$176,"限度超過!",U127)</f>
        <v>0</v>
      </c>
      <c r="V129" s="1509" t="s">
        <v>6</v>
      </c>
      <c r="W129" s="30" t="s">
        <v>37</v>
      </c>
      <c r="X129" s="29">
        <f t="shared" si="88"/>
        <v>0</v>
      </c>
      <c r="Y129" s="1313" t="s">
        <v>44</v>
      </c>
      <c r="Z129" s="1420">
        <f>IF($AH$13&gt;0,0,BB129)</f>
        <v>0</v>
      </c>
      <c r="AA129" s="26"/>
      <c r="AB129" s="26"/>
      <c r="AC129" s="491"/>
      <c r="AD129" s="26"/>
      <c r="AE129" s="497" t="str">
        <f>IF($AG$2&gt;0,"限度超過",IF(X125+X126+X127+X128+X129+X130+Z125+Z126+Z127+Z128=Z129,"OK","エラー"))</f>
        <v>OK</v>
      </c>
      <c r="AF129" s="1508">
        <f>IF(H129&gt;0,IF(K126=0,0,ROUNDDOWN((E129*H129)-O129,0)),0)</f>
        <v>0</v>
      </c>
      <c r="AG129" s="26"/>
      <c r="AI129" s="173"/>
      <c r="AJ129" s="179"/>
      <c r="AK129" s="179"/>
      <c r="AL129" s="179"/>
      <c r="AM129" s="179"/>
      <c r="AN129" s="174"/>
      <c r="AO129" s="126" t="s">
        <v>37</v>
      </c>
      <c r="AP129" s="344">
        <f>ROUND((AP40-AP306)*AQ124,0)</f>
        <v>0</v>
      </c>
      <c r="AQ129" s="352" t="s">
        <v>44</v>
      </c>
      <c r="AR129" s="346">
        <f>AP125+AP126+AP127+AP128+AP129+AP130+AR125+AR126+AR127+AR128</f>
        <v>0</v>
      </c>
      <c r="AS129" s="350"/>
      <c r="AT129" s="126" t="s">
        <v>37</v>
      </c>
      <c r="AU129" s="344">
        <f>IF(AV124=0,0,IF(AV124&gt;=6,1,IF(AV124&lt;=-6,-1,0)))</f>
        <v>0</v>
      </c>
      <c r="AV129" s="352" t="s">
        <v>44</v>
      </c>
      <c r="AW129" s="353">
        <f>AU125+AU126+AU127+AU128+AU129+AU130+AW125+AW126+AW127+AW128</f>
        <v>0</v>
      </c>
      <c r="AX129" s="318"/>
      <c r="AY129" s="262" t="s">
        <v>37</v>
      </c>
      <c r="AZ129" s="372">
        <f t="shared" si="84"/>
        <v>0</v>
      </c>
      <c r="BA129" s="320" t="s">
        <v>44</v>
      </c>
      <c r="BB129" s="417">
        <f>IF($AG$2&gt;0,"限度超過",AZ125+AZ126+AZ127+AZ128+AZ129+AZ130+BB125+BB126+BB127+BB128)</f>
        <v>0</v>
      </c>
      <c r="BC129" s="318"/>
      <c r="BD129" s="448" t="s">
        <v>37</v>
      </c>
      <c r="BE129" s="81">
        <f t="shared" si="85"/>
        <v>0</v>
      </c>
      <c r="BF129" s="440" t="s">
        <v>44</v>
      </c>
      <c r="BG129" s="29">
        <f>IF($A$176=$L$176,"限度超過",BE125+BE126+BE127+BE128+BE129+BE130+BG125+BG126+BG127+BG128)</f>
        <v>0</v>
      </c>
      <c r="BH129" s="12"/>
      <c r="BI129" s="30" t="s">
        <v>37</v>
      </c>
      <c r="BJ129" s="29">
        <f t="shared" si="86"/>
        <v>0</v>
      </c>
      <c r="BK129" s="98" t="s">
        <v>44</v>
      </c>
      <c r="BL129" s="29">
        <f>IF($A$176=$L$176,"限度超過",BJ125+BJ126+BJ127+BJ128+BJ129+BJ130+BL125+BL126+BL127+BL128)</f>
        <v>0</v>
      </c>
      <c r="BM129" s="12"/>
      <c r="BN129" s="30" t="s">
        <v>37</v>
      </c>
      <c r="BO129" s="29">
        <f t="shared" si="87"/>
        <v>0</v>
      </c>
      <c r="BP129" s="98" t="s">
        <v>44</v>
      </c>
      <c r="BQ129" s="29">
        <f>IF($A$176=$L$176,"限度超過",BO125+BO126+BO127+BO128+BO129+BO130+BQ125+BQ126+BQ127+BQ128)</f>
        <v>0</v>
      </c>
      <c r="BR129" s="446"/>
      <c r="BS129" s="12"/>
      <c r="BT129" s="12"/>
      <c r="BU129" s="12"/>
      <c r="BV129" s="12"/>
      <c r="BW129" s="12"/>
      <c r="BX129" s="32" t="s">
        <v>26</v>
      </c>
      <c r="BY129" s="26">
        <f>H129</f>
        <v>0</v>
      </c>
      <c r="BZ129" s="99">
        <f t="shared" si="89"/>
        <v>0</v>
      </c>
      <c r="CA129" s="99">
        <f t="shared" si="89"/>
        <v>0</v>
      </c>
      <c r="CB129" s="99">
        <f t="shared" si="89"/>
        <v>0</v>
      </c>
      <c r="CC129" s="576">
        <f>CB129</f>
        <v>0</v>
      </c>
      <c r="CD129" s="4"/>
      <c r="CE129" s="4"/>
      <c r="CF129" s="4"/>
      <c r="CG129" s="4"/>
      <c r="CH129" s="4"/>
      <c r="CI129" s="13"/>
    </row>
    <row r="130" spans="1:87" ht="18" customHeight="1">
      <c r="A130" s="1378"/>
      <c r="B130" s="12"/>
      <c r="C130" s="12"/>
      <c r="D130" s="1379"/>
      <c r="E130" s="1389"/>
      <c r="F130" s="12"/>
      <c r="G130" s="1010"/>
      <c r="H130" s="1390"/>
      <c r="I130" s="1385"/>
      <c r="J130" s="1010"/>
      <c r="K130" s="180">
        <f>IF(H129&gt;0,K127,0)</f>
        <v>0</v>
      </c>
      <c r="L130" s="12" t="s">
        <v>5</v>
      </c>
      <c r="M130" s="1527"/>
      <c r="N130" s="1548"/>
      <c r="O130" s="1526"/>
      <c r="P130" s="1526"/>
      <c r="Q130" s="1392"/>
      <c r="R130" s="1391"/>
      <c r="S130" s="1520"/>
      <c r="T130" s="1582"/>
      <c r="U130" s="1587"/>
      <c r="V130" s="1510"/>
      <c r="W130" s="30" t="s">
        <v>38</v>
      </c>
      <c r="X130" s="29">
        <f t="shared" si="88"/>
        <v>0</v>
      </c>
      <c r="Y130" s="1422"/>
      <c r="Z130" s="1421"/>
      <c r="AA130" s="26"/>
      <c r="AB130" s="26"/>
      <c r="AC130" s="491"/>
      <c r="AD130" s="26"/>
      <c r="AE130" s="486"/>
      <c r="AF130" s="1424"/>
      <c r="AG130" s="26"/>
      <c r="AH130" s="26"/>
      <c r="AI130" s="173"/>
      <c r="AJ130" s="179"/>
      <c r="AK130" s="179"/>
      <c r="AL130" s="179"/>
      <c r="AM130" s="179"/>
      <c r="AN130" s="175"/>
      <c r="AO130" s="126" t="s">
        <v>38</v>
      </c>
      <c r="AP130" s="344">
        <f>ROUND((AP41-AP307)*AQ124,0)</f>
        <v>0</v>
      </c>
      <c r="AQ130" s="351" t="s">
        <v>75</v>
      </c>
      <c r="AR130" s="330">
        <f>IF($AG$2&gt;0,"限度超過",U129)</f>
        <v>0</v>
      </c>
      <c r="AS130" s="347"/>
      <c r="AT130" s="126" t="s">
        <v>38</v>
      </c>
      <c r="AU130" s="344">
        <f>IF(AV124=0,0,IF(AV124&gt;=5,1,IF(AV124&lt;=-5,-1,0)))</f>
        <v>0</v>
      </c>
      <c r="AV130" s="351"/>
      <c r="AW130" s="354" t="str">
        <f>IF(AU125+AU126+AU127+AU128+AU129+AU130+AW125+AW126+AW127+AW128=AV124,"計算ＯＫ","エラー発生")</f>
        <v>計算ＯＫ</v>
      </c>
      <c r="AX130" s="318"/>
      <c r="AY130" s="262" t="s">
        <v>38</v>
      </c>
      <c r="AZ130" s="372">
        <f t="shared" si="84"/>
        <v>0</v>
      </c>
      <c r="BA130" s="319"/>
      <c r="BB130" s="418">
        <f>IF($AG$2&gt;0,"限度超過",IF($A$176=$L$176,"限度超過",$U$109))</f>
        <v>5500</v>
      </c>
      <c r="BC130" s="318"/>
      <c r="BD130" s="448" t="s">
        <v>38</v>
      </c>
      <c r="BE130" s="81">
        <f t="shared" si="85"/>
        <v>0</v>
      </c>
      <c r="BF130" s="82"/>
      <c r="BG130" s="100"/>
      <c r="BH130" s="12"/>
      <c r="BI130" s="30" t="s">
        <v>38</v>
      </c>
      <c r="BJ130" s="29">
        <f t="shared" si="86"/>
        <v>0</v>
      </c>
      <c r="BK130" s="30"/>
      <c r="BL130" s="100"/>
      <c r="BM130" s="12"/>
      <c r="BN130" s="30" t="s">
        <v>38</v>
      </c>
      <c r="BO130" s="29">
        <f t="shared" si="87"/>
        <v>0</v>
      </c>
      <c r="BP130" s="30"/>
      <c r="BQ130" s="100"/>
      <c r="BR130" s="446"/>
      <c r="BS130" s="12"/>
      <c r="BT130" s="12"/>
      <c r="BU130" s="12"/>
      <c r="BV130" s="12"/>
      <c r="BW130" s="12"/>
      <c r="BX130" s="67" t="s">
        <v>27</v>
      </c>
      <c r="BY130" s="45">
        <f>IF(BY129&gt;0,ROUNDDOWN(BY126*BY129*BY127/BY128,0),0)</f>
        <v>0</v>
      </c>
      <c r="BZ130" s="45">
        <f>IF(BZ129&gt;0,ROUNDDOWN(BZ126*BZ129*BZ127/BZ128,0),0)</f>
        <v>0</v>
      </c>
      <c r="CA130" s="45">
        <f>IF(CA129&gt;0,ROUNDDOWN(CA126*CA129*CA127/CA128,0),0)</f>
        <v>0</v>
      </c>
      <c r="CB130" s="45">
        <f>IF(CB129&gt;0,ROUNDDOWN(CB126*CB129*CB127/CB128,0),0)</f>
        <v>0</v>
      </c>
      <c r="CC130" s="576">
        <v>0</v>
      </c>
      <c r="CD130" s="4"/>
      <c r="CE130" s="4"/>
      <c r="CF130" s="4"/>
      <c r="CG130" s="4"/>
      <c r="CH130" s="4"/>
      <c r="CI130" s="13"/>
    </row>
    <row r="131" spans="1:87" ht="18" customHeight="1">
      <c r="A131" s="200"/>
      <c r="B131" s="75" t="s">
        <v>118</v>
      </c>
      <c r="C131" s="12"/>
      <c r="D131" s="160"/>
      <c r="E131" s="161"/>
      <c r="F131" s="12"/>
      <c r="G131" s="50"/>
      <c r="H131" s="162"/>
      <c r="I131" s="159"/>
      <c r="J131" s="50"/>
      <c r="K131" s="180"/>
      <c r="L131" s="12"/>
      <c r="M131" s="86"/>
      <c r="N131" s="86"/>
      <c r="O131" s="181"/>
      <c r="P131" s="181"/>
      <c r="Q131" s="156"/>
      <c r="R131" s="157"/>
      <c r="S131" s="49"/>
      <c r="T131" s="50"/>
      <c r="U131" s="182"/>
      <c r="V131" s="50"/>
      <c r="W131" s="4"/>
      <c r="X131" s="26"/>
      <c r="Y131" s="170"/>
      <c r="Z131" s="185"/>
      <c r="AA131" s="26"/>
      <c r="AB131" s="26"/>
      <c r="AC131" s="491"/>
      <c r="AD131" s="26"/>
      <c r="AE131" s="486"/>
      <c r="AF131" s="234"/>
      <c r="AG131" s="26"/>
      <c r="AH131" s="26"/>
      <c r="AI131" s="173"/>
      <c r="AJ131" s="173"/>
      <c r="AK131" s="173"/>
      <c r="AL131" s="173"/>
      <c r="AM131" s="173"/>
      <c r="AN131" s="173"/>
      <c r="AO131" s="348"/>
      <c r="AP131" s="348"/>
      <c r="AQ131" s="349"/>
      <c r="AR131" s="349"/>
      <c r="AS131" s="347"/>
      <c r="AT131" s="347"/>
      <c r="AU131" s="347"/>
      <c r="AV131" s="347"/>
      <c r="AW131" s="347"/>
      <c r="AX131" s="318"/>
      <c r="AY131" s="419"/>
      <c r="AZ131" s="348"/>
      <c r="BA131" s="349"/>
      <c r="BB131" s="464" t="str">
        <f>IF(BB129=BB130,"OK","エラー")</f>
        <v>エラー</v>
      </c>
      <c r="BC131" s="318"/>
      <c r="BD131" s="449"/>
      <c r="BF131" s="4" t="s">
        <v>257</v>
      </c>
      <c r="BH131" s="12"/>
      <c r="BM131" s="12"/>
      <c r="BR131" s="446"/>
      <c r="BS131" s="12"/>
      <c r="BT131" s="12"/>
      <c r="BU131" s="12"/>
      <c r="BV131" s="12"/>
      <c r="BW131" s="12"/>
      <c r="BX131" s="32" t="s">
        <v>340</v>
      </c>
      <c r="BY131" s="576">
        <f>IF(入力画面!E22=1,1,0)</f>
        <v>0</v>
      </c>
      <c r="BZ131" s="576">
        <f>IF($BY$131=1,ROUNDDOWN($CF$101*BZ127/BZ128,0),0)</f>
        <v>0</v>
      </c>
      <c r="CA131" s="576">
        <f>IF($BY$131=1,ROUNDDOWN($CG$101*CA127/CA128,0),0)</f>
        <v>0</v>
      </c>
      <c r="CB131" s="576">
        <f>IF($BY$131=1,ROUNDDOWN($CH$101*CB127/CB128,0),0)</f>
        <v>0</v>
      </c>
      <c r="CC131" s="576">
        <f>IF($BY$131=1,ROUNDDOWN($CE$101*CC127/CC128,0),0)</f>
        <v>0</v>
      </c>
      <c r="CD131" s="4"/>
      <c r="CE131" s="4"/>
      <c r="CF131" s="4"/>
      <c r="CG131" s="4"/>
      <c r="CH131" s="4"/>
      <c r="CI131" s="13"/>
    </row>
    <row r="132" spans="1:87" ht="18" customHeight="1">
      <c r="A132" s="58" t="s">
        <v>1</v>
      </c>
      <c r="B132" s="52"/>
      <c r="C132" s="187">
        <f>IF(H129&gt;0,$X$102,0)</f>
        <v>0</v>
      </c>
      <c r="D132" s="201" t="s">
        <v>6</v>
      </c>
      <c r="E132" s="60" t="s">
        <v>131</v>
      </c>
      <c r="F132" s="1377">
        <f>K126</f>
        <v>0</v>
      </c>
      <c r="G132" s="1377"/>
      <c r="H132" s="214" t="s">
        <v>5</v>
      </c>
      <c r="I132" s="1388" t="s">
        <v>14</v>
      </c>
      <c r="J132" s="1388"/>
      <c r="K132" s="1377">
        <f>C132*F132</f>
        <v>0</v>
      </c>
      <c r="L132" s="1377"/>
      <c r="M132" s="202" t="s">
        <v>6</v>
      </c>
      <c r="N132" s="202"/>
      <c r="O132" s="203"/>
      <c r="P132" s="203"/>
      <c r="Q132" s="63"/>
      <c r="R132" s="204"/>
      <c r="S132" s="59"/>
      <c r="T132" s="27"/>
      <c r="U132" s="205"/>
      <c r="V132" s="27"/>
      <c r="W132" s="186"/>
      <c r="X132" s="187"/>
      <c r="Y132" s="206"/>
      <c r="Z132" s="163"/>
      <c r="AA132" s="26"/>
      <c r="AB132" s="26"/>
      <c r="AC132" s="491"/>
      <c r="AD132" s="26"/>
      <c r="AE132" s="486"/>
      <c r="AF132" s="235"/>
      <c r="AG132" s="26"/>
      <c r="AH132" s="26"/>
      <c r="AI132" s="173"/>
      <c r="AJ132" s="173"/>
      <c r="AK132" s="173"/>
      <c r="AL132" s="173"/>
      <c r="AM132" s="173"/>
      <c r="AN132" s="173"/>
      <c r="AO132" s="1407" t="s">
        <v>233</v>
      </c>
      <c r="AP132" s="1407"/>
      <c r="AQ132" s="1407"/>
      <c r="AR132" s="1407"/>
      <c r="AS132" s="347"/>
      <c r="AT132" s="1406" t="s">
        <v>228</v>
      </c>
      <c r="AU132" s="1406"/>
      <c r="AV132" s="347"/>
      <c r="AW132" s="347"/>
      <c r="AX132" s="318"/>
      <c r="AY132" s="1405" t="s">
        <v>228</v>
      </c>
      <c r="AZ132" s="1406"/>
      <c r="BA132" s="349"/>
      <c r="BB132" s="421"/>
      <c r="BC132" s="318"/>
      <c r="BD132" s="1453" t="s">
        <v>228</v>
      </c>
      <c r="BE132" s="1430"/>
      <c r="BF132" s="4" t="s">
        <v>258</v>
      </c>
      <c r="BH132" s="12"/>
      <c r="BI132" s="1430" t="s">
        <v>228</v>
      </c>
      <c r="BJ132" s="1430"/>
      <c r="BM132" s="12"/>
      <c r="BN132" s="1430" t="s">
        <v>228</v>
      </c>
      <c r="BO132" s="1430"/>
      <c r="BR132" s="446"/>
      <c r="BS132" s="12"/>
      <c r="BT132" s="12"/>
      <c r="BU132" s="12"/>
      <c r="BV132" s="12"/>
      <c r="BW132" s="12"/>
      <c r="BX132" s="4"/>
      <c r="BY132" s="26"/>
      <c r="BZ132" s="26"/>
      <c r="CA132" s="26"/>
      <c r="CB132" s="26"/>
      <c r="CC132" s="4"/>
      <c r="CD132" s="4"/>
      <c r="CE132" s="4"/>
      <c r="CF132" s="4"/>
      <c r="CG132" s="4"/>
      <c r="CH132" s="4"/>
      <c r="CI132" s="13"/>
    </row>
    <row r="133" spans="1:87" ht="18" customHeight="1">
      <c r="D133" s="101"/>
      <c r="E133" s="70"/>
      <c r="G133" s="9"/>
      <c r="H133" s="102"/>
      <c r="I133" s="5"/>
      <c r="J133" s="9"/>
      <c r="K133" s="18"/>
      <c r="M133" s="103"/>
      <c r="P133" s="103"/>
      <c r="Q133" s="70"/>
      <c r="R133" s="104"/>
      <c r="S133" s="68"/>
      <c r="T133" s="68"/>
      <c r="U133" s="68"/>
      <c r="V133" s="18"/>
      <c r="AA133" s="4"/>
      <c r="AB133" s="4"/>
      <c r="AC133" s="489"/>
      <c r="AD133" s="4"/>
      <c r="AE133" s="74"/>
      <c r="AF133" s="231"/>
      <c r="AG133" s="4"/>
      <c r="AH133" s="4"/>
      <c r="AI133" s="174"/>
      <c r="AJ133" s="174"/>
      <c r="AK133" s="174"/>
      <c r="AL133" s="174"/>
      <c r="AM133" s="174"/>
      <c r="AN133" s="173"/>
      <c r="AO133" s="367" t="s">
        <v>217</v>
      </c>
      <c r="AP133" s="1401" t="s">
        <v>232</v>
      </c>
      <c r="AQ133" s="1401"/>
      <c r="AR133" s="1401"/>
      <c r="AS133" s="369"/>
      <c r="AT133" s="1413" t="s">
        <v>218</v>
      </c>
      <c r="AU133" s="1413"/>
      <c r="AV133" s="1413"/>
      <c r="AW133" s="1413"/>
      <c r="AX133" s="318"/>
      <c r="AY133" s="416" t="s">
        <v>224</v>
      </c>
      <c r="AZ133" s="1448" t="s">
        <v>223</v>
      </c>
      <c r="BA133" s="1448"/>
      <c r="BB133" s="1449"/>
      <c r="BC133" s="318"/>
      <c r="BD133" s="1426" t="s">
        <v>261</v>
      </c>
      <c r="BE133" s="1427"/>
      <c r="BF133" s="1427"/>
      <c r="BG133" s="1427"/>
      <c r="BH133" s="12"/>
      <c r="BI133" s="437" t="s">
        <v>262</v>
      </c>
      <c r="BJ133" s="1438" t="s">
        <v>260</v>
      </c>
      <c r="BK133" s="1438"/>
      <c r="BL133" s="1438"/>
      <c r="BM133" s="12"/>
      <c r="BN133" s="12"/>
      <c r="BO133" s="143" t="s">
        <v>263</v>
      </c>
      <c r="BP133" s="12" t="s">
        <v>88</v>
      </c>
      <c r="BQ133" s="12"/>
      <c r="BR133" s="446"/>
      <c r="BS133" s="12"/>
      <c r="BT133" s="12"/>
      <c r="BU133" s="12"/>
      <c r="BV133" s="12"/>
      <c r="BW133" s="12"/>
      <c r="BX133" s="4"/>
      <c r="BY133" s="4"/>
      <c r="BZ133" s="4"/>
      <c r="CA133" s="4"/>
      <c r="CB133" s="4"/>
      <c r="CC133" s="4"/>
      <c r="CD133" s="4"/>
      <c r="CE133" s="4"/>
      <c r="CF133" s="4"/>
      <c r="CG133" s="4"/>
      <c r="CH133" s="4"/>
      <c r="CI133" s="13"/>
    </row>
    <row r="134" spans="1:87" ht="18" customHeight="1">
      <c r="A134" s="194" t="s">
        <v>54</v>
      </c>
      <c r="B134" s="1396">
        <f>B45</f>
        <v>0</v>
      </c>
      <c r="C134" s="1396"/>
      <c r="D134" s="1396"/>
      <c r="E134" s="196" t="s">
        <v>11</v>
      </c>
      <c r="F134" s="1398" t="s">
        <v>57</v>
      </c>
      <c r="G134" s="1398"/>
      <c r="H134" s="1399"/>
      <c r="I134" s="1380">
        <f>IF(I45=1,1,0)</f>
        <v>0</v>
      </c>
      <c r="J134" s="1381"/>
      <c r="K134" s="1515">
        <f>IF(H139=0,0,IF($K$97=0, "加入月が未入力です!！",IF($L$176=$A$176,"限度超過額に達しているため計算不可能!!",IF(U136-U135=U137,"エラー名前を入力されているが加入月未入力!！",IF(H139&gt;K136,"加入月未入力エラー!！",0)))))</f>
        <v>0</v>
      </c>
      <c r="L134" s="1516"/>
      <c r="M134" s="1516"/>
      <c r="N134" s="1516"/>
      <c r="O134" s="1516"/>
      <c r="P134" s="1516"/>
      <c r="Q134" s="1516"/>
      <c r="R134" s="1516"/>
      <c r="S134" s="1517"/>
      <c r="T134" s="195" t="s">
        <v>47</v>
      </c>
      <c r="U134" s="1417">
        <f>IF(U139&gt;0,"支援分",0)</f>
        <v>0</v>
      </c>
      <c r="V134" s="1418"/>
      <c r="W134" s="1419" t="s">
        <v>46</v>
      </c>
      <c r="X134" s="1278"/>
      <c r="Y134" s="1278"/>
      <c r="Z134" s="1279"/>
      <c r="AB134" s="4"/>
      <c r="AC134" s="489"/>
      <c r="AD134" s="4"/>
      <c r="AE134" s="74"/>
      <c r="AF134" s="236" t="s">
        <v>117</v>
      </c>
      <c r="AG134" s="4"/>
      <c r="AH134" s="274">
        <f>IF(K136=0,0,IF(K136&lt;12,1,0))</f>
        <v>0</v>
      </c>
      <c r="AI134" s="174"/>
      <c r="AJ134" s="174"/>
      <c r="AK134" s="174"/>
      <c r="AL134" s="174"/>
      <c r="AM134" s="174"/>
      <c r="AN134" s="366" t="s">
        <v>147</v>
      </c>
      <c r="AO134" s="1319" t="s">
        <v>220</v>
      </c>
      <c r="AP134" s="1402"/>
      <c r="AQ134" s="1403">
        <f>IF(AR50=0,0,ROUNDDOWN(AR140/(AW51+AR140),8))</f>
        <v>0</v>
      </c>
      <c r="AR134" s="1404"/>
      <c r="AS134" s="370"/>
      <c r="AT134" s="1319" t="s">
        <v>213</v>
      </c>
      <c r="AU134" s="1402"/>
      <c r="AV134" s="1411">
        <f>IF($AG$2&gt;0,0,AR140-AR139)</f>
        <v>0</v>
      </c>
      <c r="AW134" s="1412"/>
      <c r="AX134" s="318"/>
      <c r="AY134" s="1408" t="s">
        <v>46</v>
      </c>
      <c r="AZ134" s="1402"/>
      <c r="BA134" s="1450">
        <f>IF(R136+R139=0,0,IF(K137&gt;K136,"期割がアンマッチ使用禁止↓",0))</f>
        <v>0</v>
      </c>
      <c r="BB134" s="1451"/>
      <c r="BC134" s="318"/>
      <c r="BD134" s="1435" t="s">
        <v>46</v>
      </c>
      <c r="BE134" s="1434"/>
      <c r="BF134" s="1436" t="s">
        <v>87</v>
      </c>
      <c r="BG134" s="1437"/>
      <c r="BH134" s="12"/>
      <c r="BI134" s="1253" t="s">
        <v>89</v>
      </c>
      <c r="BJ134" s="1434"/>
      <c r="BK134" s="438"/>
      <c r="BL134" s="439"/>
      <c r="BM134" s="12"/>
      <c r="BN134" s="1253" t="s">
        <v>46</v>
      </c>
      <c r="BO134" s="1434"/>
      <c r="BP134" s="1431"/>
      <c r="BQ134" s="1433"/>
      <c r="BR134" s="446"/>
      <c r="BS134" s="12"/>
      <c r="BT134" s="12"/>
      <c r="BU134" s="12"/>
      <c r="BV134" s="12"/>
      <c r="BW134" s="12"/>
      <c r="BX134" s="4"/>
      <c r="BY134" s="4"/>
      <c r="BZ134" s="4"/>
      <c r="CA134" s="4"/>
      <c r="CB134" s="4"/>
      <c r="CC134" s="4"/>
      <c r="CD134" s="4"/>
      <c r="CE134" s="4"/>
      <c r="CF134" s="4"/>
      <c r="CG134" s="4"/>
      <c r="CH134" s="4"/>
      <c r="CI134" s="13"/>
    </row>
    <row r="135" spans="1:87" ht="18" customHeight="1">
      <c r="A135" s="165"/>
      <c r="B135" s="12"/>
      <c r="C135" s="75" t="s">
        <v>33</v>
      </c>
      <c r="D135" s="12"/>
      <c r="E135" s="12"/>
      <c r="F135" s="1394" t="s">
        <v>433</v>
      </c>
      <c r="G135" s="1394"/>
      <c r="H135" s="1394"/>
      <c r="I135" s="1380">
        <f>IF(I46=1,1,0)</f>
        <v>0</v>
      </c>
      <c r="J135" s="1381"/>
      <c r="K135" s="76" t="s">
        <v>9</v>
      </c>
      <c r="L135" s="12"/>
      <c r="M135" s="1551"/>
      <c r="N135" s="1551"/>
      <c r="O135" s="1551"/>
      <c r="P135" s="1551"/>
      <c r="Q135" s="1551"/>
      <c r="R135" s="1551"/>
      <c r="S135" s="1552"/>
      <c r="T135" s="72" t="s">
        <v>30</v>
      </c>
      <c r="U135" s="105">
        <f>R136+R139</f>
        <v>0</v>
      </c>
      <c r="V135" s="88" t="s">
        <v>6</v>
      </c>
      <c r="W135" s="80" t="s">
        <v>34</v>
      </c>
      <c r="X135" s="29">
        <f t="shared" ref="X135:X140" si="90">IF($AH$13&gt;0,0,AZ135)</f>
        <v>0</v>
      </c>
      <c r="Y135" s="80" t="s">
        <v>39</v>
      </c>
      <c r="Z135" s="31">
        <f>IF($AH$13&gt;0,0,BB135)</f>
        <v>0</v>
      </c>
      <c r="AA135" s="73"/>
      <c r="AB135" s="73"/>
      <c r="AC135" s="223"/>
      <c r="AD135" s="73"/>
      <c r="AE135" s="73"/>
      <c r="AF135" s="217">
        <f>AF136+AF139+AF142</f>
        <v>0</v>
      </c>
      <c r="AG135" s="73"/>
      <c r="AH135" s="189"/>
      <c r="AI135" s="175"/>
      <c r="AJ135" s="175"/>
      <c r="AK135" s="175"/>
      <c r="AL135" s="175"/>
      <c r="AM135" s="175"/>
      <c r="AN135" s="173"/>
      <c r="AO135" s="126" t="s">
        <v>34</v>
      </c>
      <c r="AP135" s="344">
        <f>ROUND((AP46-AP312)*AQ134,0)</f>
        <v>0</v>
      </c>
      <c r="AQ135" s="351" t="s">
        <v>39</v>
      </c>
      <c r="AR135" s="345">
        <f>ROUND((AR46-AR312)*AQ134,0)</f>
        <v>0</v>
      </c>
      <c r="AS135" s="371"/>
      <c r="AT135" s="126" t="s">
        <v>34</v>
      </c>
      <c r="AU135" s="344">
        <f>IF(AV134=0,0,IF(AV134&gt;=10,1,IF(AV134&lt;=-10,-1,0)))</f>
        <v>0</v>
      </c>
      <c r="AV135" s="351" t="s">
        <v>39</v>
      </c>
      <c r="AW135" s="345">
        <f>IF(AV134=0,0,IF(AV134&gt;=4,1,IF(AV134&lt;=-4,-1,0)))</f>
        <v>0</v>
      </c>
      <c r="AX135" s="318"/>
      <c r="AY135" s="258" t="s">
        <v>34</v>
      </c>
      <c r="AZ135" s="372">
        <f t="shared" ref="AZ135:AZ140" si="91">IF($AG$2&gt;0,"限度超過",IF($A$176=$L$176,"限度超過",AP135+AU135))</f>
        <v>0</v>
      </c>
      <c r="BA135" s="319" t="s">
        <v>39</v>
      </c>
      <c r="BB135" s="127">
        <f>IF($AG$2&gt;0,"限度超過",IF($A$176=$L$176,"限度超過",AR135+AW135))</f>
        <v>0</v>
      </c>
      <c r="BC135" s="318"/>
      <c r="BD135" s="448" t="s">
        <v>34</v>
      </c>
      <c r="BE135" s="81">
        <f t="shared" ref="BE135:BE140" si="92">BE125</f>
        <v>0</v>
      </c>
      <c r="BF135" s="82" t="s">
        <v>39</v>
      </c>
      <c r="BG135" s="29">
        <f>BG125</f>
        <v>0</v>
      </c>
      <c r="BH135" s="12"/>
      <c r="BI135" s="80" t="s">
        <v>34</v>
      </c>
      <c r="BJ135" s="29">
        <f t="shared" ref="BJ135:BJ140" si="93">IF($A$176=$L$176,"限度超過",IF(BE135=0,0,BE135/$S$94))</f>
        <v>0</v>
      </c>
      <c r="BK135" s="80" t="s">
        <v>39</v>
      </c>
      <c r="BL135" s="29">
        <f>IF($A$176=$L$176,"限度超過",IF(BG135=0,0,BG135/$S$94))</f>
        <v>0</v>
      </c>
      <c r="BM135" s="12"/>
      <c r="BN135" s="30" t="s">
        <v>34</v>
      </c>
      <c r="BO135" s="29">
        <f t="shared" ref="BO135:BO140" si="94">IF($A$176=$L$176,"限度超過",IF($S$94&lt;=3,0,BJ135))</f>
        <v>0</v>
      </c>
      <c r="BP135" s="80" t="s">
        <v>39</v>
      </c>
      <c r="BQ135" s="29">
        <f>IF($A$176=$L$176,"限度超過",IF($S$94&lt;=3,0,BL135))</f>
        <v>0</v>
      </c>
      <c r="BR135" s="446"/>
      <c r="BS135" s="12"/>
      <c r="BT135" s="12"/>
      <c r="BU135" s="12"/>
      <c r="BV135" s="12"/>
      <c r="BW135" s="12"/>
      <c r="BX135" s="32"/>
      <c r="BY135" s="33" t="str">
        <f>BY125</f>
        <v>料率</v>
      </c>
      <c r="BZ135" s="33">
        <f>BZ125</f>
        <v>7</v>
      </c>
      <c r="CA135" s="33">
        <f>CA125</f>
        <v>5</v>
      </c>
      <c r="CB135" s="33">
        <f>CB125</f>
        <v>2</v>
      </c>
      <c r="CC135" s="576" t="s">
        <v>341</v>
      </c>
      <c r="CD135" s="4"/>
      <c r="CE135" s="4"/>
      <c r="CF135" s="4"/>
      <c r="CG135" s="4"/>
      <c r="CH135" s="4"/>
      <c r="CI135" s="13"/>
    </row>
    <row r="136" spans="1:87" ht="18" customHeight="1">
      <c r="A136" s="1378" t="s">
        <v>0</v>
      </c>
      <c r="B136" s="1556" t="s">
        <v>129</v>
      </c>
      <c r="C136" s="1382">
        <f>C47</f>
        <v>0</v>
      </c>
      <c r="D136" s="1010" t="s">
        <v>58</v>
      </c>
      <c r="E136" s="1389">
        <f>IF(H139&gt;0,$CE$100, 0)</f>
        <v>0</v>
      </c>
      <c r="F136" s="1395" t="s">
        <v>22</v>
      </c>
      <c r="G136" s="1010" t="s">
        <v>59</v>
      </c>
      <c r="H136" s="85">
        <f>IF(H139&gt;0,$CE$96,0)</f>
        <v>0</v>
      </c>
      <c r="I136" s="1385" t="s">
        <v>22</v>
      </c>
      <c r="J136" s="1010" t="s">
        <v>59</v>
      </c>
      <c r="K136" s="51">
        <f>K47</f>
        <v>0</v>
      </c>
      <c r="L136" s="52" t="s">
        <v>5</v>
      </c>
      <c r="M136" s="1395"/>
      <c r="N136" s="1527"/>
      <c r="O136" s="86"/>
      <c r="P136" s="1392" t="s">
        <v>130</v>
      </c>
      <c r="Q136" s="1392"/>
      <c r="R136" s="1391">
        <f>ROUNDDOWN(IF(((C136-E136)*H136/H137)*K136/K137&lt;0,0,((C136-E136)*H136/H137)*K136/K137),0)</f>
        <v>0</v>
      </c>
      <c r="S136" s="1520" t="s">
        <v>6</v>
      </c>
      <c r="T136" s="72" t="s">
        <v>1</v>
      </c>
      <c r="U136" s="105">
        <f>IF(H139=0,0,K142)</f>
        <v>0</v>
      </c>
      <c r="V136" s="88" t="s">
        <v>6</v>
      </c>
      <c r="W136" s="30" t="s">
        <v>35</v>
      </c>
      <c r="X136" s="29">
        <f t="shared" si="90"/>
        <v>0</v>
      </c>
      <c r="Y136" s="30" t="s">
        <v>40</v>
      </c>
      <c r="Z136" s="31">
        <f>IF($AH$13&gt;0,0,BB136)</f>
        <v>0</v>
      </c>
      <c r="AA136" s="26"/>
      <c r="AB136" s="26"/>
      <c r="AC136" s="491"/>
      <c r="AD136" s="26"/>
      <c r="AE136" s="486"/>
      <c r="AF136" s="1423">
        <f>ROUNDDOWN(IF(((C136-E136)*H136/H137)&lt;0,0,((C136-E136)*H136/H137)),0)</f>
        <v>0</v>
      </c>
      <c r="AG136" s="26"/>
      <c r="AH136" s="26"/>
      <c r="AI136" s="173"/>
      <c r="AJ136" s="179"/>
      <c r="AK136" s="179"/>
      <c r="AL136" s="179"/>
      <c r="AM136" s="179"/>
      <c r="AN136" s="174"/>
      <c r="AO136" s="126" t="s">
        <v>35</v>
      </c>
      <c r="AP136" s="344">
        <f>ROUND((AP47-AP313)*AQ134,0)</f>
        <v>0</v>
      </c>
      <c r="AQ136" s="351" t="s">
        <v>40</v>
      </c>
      <c r="AR136" s="345">
        <f>ROUND((AR47-AR313)*AQ134,0)</f>
        <v>0</v>
      </c>
      <c r="AS136" s="371"/>
      <c r="AT136" s="126" t="s">
        <v>35</v>
      </c>
      <c r="AU136" s="344">
        <f>IF(AV134=0,0,IF(AV134&gt;=9,1,IF(AV134&lt;=-9,-1,0)))</f>
        <v>0</v>
      </c>
      <c r="AV136" s="351" t="s">
        <v>40</v>
      </c>
      <c r="AW136" s="345">
        <f>IF(AV134=0,0,IF(AV134&gt;=3,1,IF(AV134&lt;=-3,-1,0)))</f>
        <v>0</v>
      </c>
      <c r="AX136" s="318"/>
      <c r="AY136" s="262" t="s">
        <v>35</v>
      </c>
      <c r="AZ136" s="372">
        <f t="shared" si="91"/>
        <v>0</v>
      </c>
      <c r="BA136" s="319" t="s">
        <v>40</v>
      </c>
      <c r="BB136" s="127">
        <f>IF($AG$2&gt;0,"限度超過",IF($A$176=$L$176,"限度超過",AR136+AW136))</f>
        <v>0</v>
      </c>
      <c r="BC136" s="318"/>
      <c r="BD136" s="448" t="s">
        <v>35</v>
      </c>
      <c r="BE136" s="81">
        <f t="shared" si="92"/>
        <v>0</v>
      </c>
      <c r="BF136" s="82" t="s">
        <v>40</v>
      </c>
      <c r="BG136" s="29">
        <f>BG126</f>
        <v>0</v>
      </c>
      <c r="BH136" s="12"/>
      <c r="BI136" s="30" t="s">
        <v>35</v>
      </c>
      <c r="BJ136" s="29">
        <f t="shared" si="93"/>
        <v>0</v>
      </c>
      <c r="BK136" s="30" t="s">
        <v>40</v>
      </c>
      <c r="BL136" s="29">
        <f>IF($A$176=$L$176,"限度超過",IF(BG136=0,0,BG136/$S$94))</f>
        <v>0</v>
      </c>
      <c r="BM136" s="12"/>
      <c r="BN136" s="30" t="s">
        <v>35</v>
      </c>
      <c r="BO136" s="29">
        <f t="shared" si="94"/>
        <v>0</v>
      </c>
      <c r="BP136" s="30" t="s">
        <v>40</v>
      </c>
      <c r="BQ136" s="29">
        <f>IF($A$176=$L$176,"限度超過",IF($S$94&lt;=3,0,BL136))</f>
        <v>0</v>
      </c>
      <c r="BR136" s="446"/>
      <c r="BS136" s="12"/>
      <c r="BT136" s="12"/>
      <c r="BU136" s="12"/>
      <c r="BV136" s="12"/>
      <c r="BW136" s="12"/>
      <c r="BX136" s="32" t="s">
        <v>17</v>
      </c>
      <c r="BY136" s="44">
        <v>0</v>
      </c>
      <c r="BZ136" s="45">
        <f>$CF$97</f>
        <v>6440</v>
      </c>
      <c r="CA136" s="45">
        <f>$CG$97</f>
        <v>4600</v>
      </c>
      <c r="CB136" s="45">
        <f>$CH$97</f>
        <v>1840</v>
      </c>
      <c r="CC136" s="576"/>
      <c r="CD136" s="4"/>
      <c r="CE136" s="4"/>
      <c r="CF136" s="4"/>
      <c r="CG136" s="4"/>
      <c r="CH136" s="4"/>
      <c r="CI136" s="13"/>
    </row>
    <row r="137" spans="1:87" ht="18" customHeight="1">
      <c r="A137" s="1378"/>
      <c r="B137" s="1556"/>
      <c r="C137" s="1382"/>
      <c r="D137" s="1010"/>
      <c r="E137" s="1389"/>
      <c r="F137" s="1395"/>
      <c r="G137" s="1010"/>
      <c r="H137" s="39">
        <v>100</v>
      </c>
      <c r="I137" s="1385"/>
      <c r="J137" s="1010"/>
      <c r="K137" s="55">
        <v>12</v>
      </c>
      <c r="L137" s="12" t="s">
        <v>5</v>
      </c>
      <c r="M137" s="1395"/>
      <c r="N137" s="1527"/>
      <c r="O137" s="86"/>
      <c r="P137" s="1392"/>
      <c r="Q137" s="1392"/>
      <c r="R137" s="1391"/>
      <c r="S137" s="1520"/>
      <c r="T137" s="72" t="s">
        <v>29</v>
      </c>
      <c r="U137" s="105">
        <f>U135+U136</f>
        <v>0</v>
      </c>
      <c r="V137" s="88" t="s">
        <v>6</v>
      </c>
      <c r="W137" s="30" t="s">
        <v>36</v>
      </c>
      <c r="X137" s="29">
        <f t="shared" si="90"/>
        <v>0</v>
      </c>
      <c r="Y137" s="30" t="s">
        <v>41</v>
      </c>
      <c r="Z137" s="31">
        <f>IF($AH$13&gt;0,0,BB137)</f>
        <v>0</v>
      </c>
      <c r="AA137" s="26"/>
      <c r="AB137" s="26"/>
      <c r="AC137" s="491"/>
      <c r="AD137" s="26"/>
      <c r="AE137" s="486"/>
      <c r="AF137" s="1424"/>
      <c r="AG137" s="26"/>
      <c r="AH137" s="26"/>
      <c r="AI137" s="173"/>
      <c r="AJ137" s="179"/>
      <c r="AK137" s="179"/>
      <c r="AL137" s="179"/>
      <c r="AM137" s="179"/>
      <c r="AN137" s="174"/>
      <c r="AO137" s="126" t="s">
        <v>36</v>
      </c>
      <c r="AP137" s="344">
        <f>ROUND((AP48-AP314)*AQ134,0)</f>
        <v>0</v>
      </c>
      <c r="AQ137" s="351" t="s">
        <v>41</v>
      </c>
      <c r="AR137" s="345">
        <f>ROUND((AR48-AR314)*AQ134,0)</f>
        <v>0</v>
      </c>
      <c r="AS137" s="350"/>
      <c r="AT137" s="126" t="s">
        <v>36</v>
      </c>
      <c r="AU137" s="344">
        <f>IF(AV134=0,0,IF(AV134&gt;=8,1,IF(AV134&lt;=-8,-1,0)))</f>
        <v>0</v>
      </c>
      <c r="AV137" s="351" t="s">
        <v>41</v>
      </c>
      <c r="AW137" s="345">
        <f>IF(AV134=0,0,IF(AV134&gt;=2,1,IF(AV134&lt;=-2,-1,0)))</f>
        <v>0</v>
      </c>
      <c r="AX137" s="318"/>
      <c r="AY137" s="262" t="s">
        <v>36</v>
      </c>
      <c r="AZ137" s="372">
        <f t="shared" si="91"/>
        <v>0</v>
      </c>
      <c r="BA137" s="319" t="s">
        <v>41</v>
      </c>
      <c r="BB137" s="127">
        <f>IF($AG$2&gt;0,"限度超過",IF($A$176=$L$176,"限度超過",AR137+AW137))</f>
        <v>0</v>
      </c>
      <c r="BC137" s="318"/>
      <c r="BD137" s="448" t="s">
        <v>36</v>
      </c>
      <c r="BE137" s="81">
        <f t="shared" si="92"/>
        <v>0</v>
      </c>
      <c r="BF137" s="82" t="s">
        <v>41</v>
      </c>
      <c r="BG137" s="29">
        <f>BG127</f>
        <v>0</v>
      </c>
      <c r="BH137" s="12"/>
      <c r="BI137" s="30" t="s">
        <v>36</v>
      </c>
      <c r="BJ137" s="29">
        <f t="shared" si="93"/>
        <v>0</v>
      </c>
      <c r="BK137" s="30" t="s">
        <v>41</v>
      </c>
      <c r="BL137" s="29">
        <f>IF($A$176=$L$176,"限度超過",IF(BG137=0,0,BG137/$S$94))</f>
        <v>0</v>
      </c>
      <c r="BM137" s="12"/>
      <c r="BN137" s="30" t="s">
        <v>36</v>
      </c>
      <c r="BO137" s="29">
        <f t="shared" si="94"/>
        <v>0</v>
      </c>
      <c r="BP137" s="30" t="s">
        <v>41</v>
      </c>
      <c r="BQ137" s="29">
        <f>IF($A$176=$L$176,"限度超過",IF($S$94&lt;=3,0,BL137))</f>
        <v>0</v>
      </c>
      <c r="BR137" s="446"/>
      <c r="BS137" s="12"/>
      <c r="BT137" s="12"/>
      <c r="BU137" s="12"/>
      <c r="BV137" s="12"/>
      <c r="BW137" s="12"/>
      <c r="BX137" s="32" t="s">
        <v>8</v>
      </c>
      <c r="BY137" s="45">
        <f>K139</f>
        <v>0</v>
      </c>
      <c r="BZ137" s="45">
        <f t="shared" ref="BZ137:CB139" si="95">BY137</f>
        <v>0</v>
      </c>
      <c r="CA137" s="45">
        <f t="shared" si="95"/>
        <v>0</v>
      </c>
      <c r="CB137" s="45">
        <f t="shared" si="95"/>
        <v>0</v>
      </c>
      <c r="CC137" s="576">
        <f>CB137</f>
        <v>0</v>
      </c>
      <c r="CD137" s="4"/>
      <c r="CE137" s="4"/>
      <c r="CF137" s="4"/>
      <c r="CG137" s="4"/>
      <c r="CH137" s="4"/>
      <c r="CI137" s="13"/>
    </row>
    <row r="138" spans="1:87" ht="18" customHeight="1">
      <c r="A138" s="165"/>
      <c r="B138" s="12"/>
      <c r="C138" s="50"/>
      <c r="D138" s="12"/>
      <c r="E138" s="12"/>
      <c r="F138" s="12"/>
      <c r="G138" s="12"/>
      <c r="H138" s="91"/>
      <c r="I138" s="75"/>
      <c r="J138" s="75"/>
      <c r="K138" s="92"/>
      <c r="L138" s="75"/>
      <c r="M138" s="93"/>
      <c r="N138" s="578">
        <f>IF(入力画面!E27=1,"未就学児",0)</f>
        <v>0</v>
      </c>
      <c r="O138" s="42">
        <f>IF(H139=0,0,$D$94)</f>
        <v>0</v>
      </c>
      <c r="P138" s="463">
        <f>IF(O139=0,0,"軽減額")</f>
        <v>0</v>
      </c>
      <c r="Q138" s="12"/>
      <c r="R138" s="95"/>
      <c r="S138" s="183"/>
      <c r="T138" s="96" t="s">
        <v>31</v>
      </c>
      <c r="U138" s="105">
        <f>ROUNDDOWN(U137,-2)</f>
        <v>0</v>
      </c>
      <c r="V138" s="88" t="s">
        <v>6</v>
      </c>
      <c r="W138" s="30" t="s">
        <v>43</v>
      </c>
      <c r="X138" s="29">
        <f t="shared" si="90"/>
        <v>0</v>
      </c>
      <c r="Y138" s="30" t="s">
        <v>42</v>
      </c>
      <c r="Z138" s="31">
        <f>IF($AH$13&gt;0,0,BB138)</f>
        <v>0</v>
      </c>
      <c r="AA138" s="26"/>
      <c r="AB138" s="26"/>
      <c r="AC138" s="491"/>
      <c r="AD138" s="26"/>
      <c r="AE138" s="497" t="str">
        <f>IF($AH$13&gt;0,"－",IF($AG$2&gt;0,"限度超過",IF(U139=Z139,"OK","ｱﾝﾏｯﾁ")))</f>
        <v>OK</v>
      </c>
      <c r="AF138" s="496"/>
      <c r="AG138" s="26"/>
      <c r="AI138" s="173"/>
      <c r="AJ138" s="173"/>
      <c r="AK138" s="173"/>
      <c r="AL138" s="173"/>
      <c r="AM138" s="173"/>
      <c r="AN138" s="174"/>
      <c r="AO138" s="126" t="s">
        <v>43</v>
      </c>
      <c r="AP138" s="344">
        <f>ROUND((AP49-AP315)*AQ134,0)</f>
        <v>0</v>
      </c>
      <c r="AQ138" s="351" t="s">
        <v>42</v>
      </c>
      <c r="AR138" s="345">
        <f>ROUND((AR49-AR315)*AQ134,0)</f>
        <v>0</v>
      </c>
      <c r="AS138" s="350"/>
      <c r="AT138" s="126" t="s">
        <v>43</v>
      </c>
      <c r="AU138" s="344">
        <f>IF(AV134=0,0,IF(AV134&gt;=7,1,IF(AV134&lt;=-7,-1,0)))</f>
        <v>0</v>
      </c>
      <c r="AV138" s="351" t="s">
        <v>42</v>
      </c>
      <c r="AW138" s="345">
        <f>IF(AV134=0,0,IF(AV134&gt;=1,1,IF(AV134&lt;=-1,-1,0)))</f>
        <v>0</v>
      </c>
      <c r="AX138" s="318"/>
      <c r="AY138" s="262" t="s">
        <v>43</v>
      </c>
      <c r="AZ138" s="372">
        <f t="shared" si="91"/>
        <v>0</v>
      </c>
      <c r="BA138" s="319" t="s">
        <v>42</v>
      </c>
      <c r="BB138" s="127">
        <f>IF($AG$2&gt;0,"限度超過",IF($A$176=$L$176,"限度超過",AR138+AW138))</f>
        <v>0</v>
      </c>
      <c r="BC138" s="318"/>
      <c r="BD138" s="448" t="s">
        <v>43</v>
      </c>
      <c r="BE138" s="81">
        <f t="shared" si="92"/>
        <v>0</v>
      </c>
      <c r="BF138" s="82" t="s">
        <v>42</v>
      </c>
      <c r="BG138" s="29">
        <f>BG128</f>
        <v>0</v>
      </c>
      <c r="BH138" s="12"/>
      <c r="BI138" s="30" t="s">
        <v>43</v>
      </c>
      <c r="BJ138" s="29">
        <f t="shared" si="93"/>
        <v>0</v>
      </c>
      <c r="BK138" s="30" t="s">
        <v>42</v>
      </c>
      <c r="BL138" s="29">
        <f>IF($A$176=$L$176,"限度超過",IF(BG138=0,0,BG138/$S$94))</f>
        <v>0</v>
      </c>
      <c r="BM138" s="12"/>
      <c r="BN138" s="30" t="s">
        <v>43</v>
      </c>
      <c r="BO138" s="29">
        <f t="shared" si="94"/>
        <v>0</v>
      </c>
      <c r="BP138" s="30" t="s">
        <v>42</v>
      </c>
      <c r="BQ138" s="29">
        <f>IF($A$176=$L$176,"限度超過",IF($S$94&lt;=3,0,BL138))</f>
        <v>0</v>
      </c>
      <c r="BR138" s="446"/>
      <c r="BS138" s="12"/>
      <c r="BT138" s="12"/>
      <c r="BU138" s="12"/>
      <c r="BV138" s="12"/>
      <c r="BW138" s="12"/>
      <c r="BX138" s="32" t="s">
        <v>25</v>
      </c>
      <c r="BY138" s="45">
        <f>K140</f>
        <v>0</v>
      </c>
      <c r="BZ138" s="45">
        <f t="shared" si="95"/>
        <v>0</v>
      </c>
      <c r="CA138" s="45">
        <f t="shared" si="95"/>
        <v>0</v>
      </c>
      <c r="CB138" s="45">
        <f t="shared" si="95"/>
        <v>0</v>
      </c>
      <c r="CC138" s="576">
        <f>CB138</f>
        <v>0</v>
      </c>
      <c r="CD138" s="4"/>
      <c r="CE138" s="4"/>
      <c r="CF138" s="4"/>
      <c r="CG138" s="4"/>
      <c r="CH138" s="4"/>
      <c r="CI138" s="13"/>
    </row>
    <row r="139" spans="1:87" ht="18" customHeight="1">
      <c r="A139" s="1378" t="s">
        <v>10</v>
      </c>
      <c r="B139" s="12"/>
      <c r="C139" s="12"/>
      <c r="D139" s="1379" t="s">
        <v>7</v>
      </c>
      <c r="E139" s="1389">
        <f>IF(H139&gt;0,$CE$97,0)</f>
        <v>0</v>
      </c>
      <c r="F139" s="97"/>
      <c r="G139" s="1010" t="s">
        <v>59</v>
      </c>
      <c r="H139" s="1390">
        <f>IF(B134=0,0,SUBTOTAL(3,B134))</f>
        <v>0</v>
      </c>
      <c r="I139" s="1385" t="s">
        <v>22</v>
      </c>
      <c r="J139" s="1010" t="s">
        <v>59</v>
      </c>
      <c r="K139" s="51">
        <f>IF(H139&gt;0,K136,0)</f>
        <v>0</v>
      </c>
      <c r="L139" s="52" t="s">
        <v>5</v>
      </c>
      <c r="M139" s="1527" t="s">
        <v>122</v>
      </c>
      <c r="N139" s="1548">
        <f>IF(O139=0,0,"―")</f>
        <v>0</v>
      </c>
      <c r="O139" s="1525">
        <f>IF(H139=0,0,IF(BY141=0,IF($D$94=7,BZ140,IF($D$94=5,CA140,IF($D$94=2,CB140,CC140))),IF($D$94=7,BZ140+BZ141,IF($D$94=5,CA140+CA141,IF($D$94=2,CB140+CB141,CC140+CC141)))))</f>
        <v>0</v>
      </c>
      <c r="P139" s="1526"/>
      <c r="Q139" s="1392" t="s">
        <v>130</v>
      </c>
      <c r="R139" s="1391">
        <f>IF(H139&gt;0,IF(K136=0,0,ROUNDDOWN(((E139*H139)*K139/K140)-O139,0)),0)</f>
        <v>0</v>
      </c>
      <c r="S139" s="1520" t="s">
        <v>6</v>
      </c>
      <c r="T139" s="1321" t="s">
        <v>32</v>
      </c>
      <c r="U139" s="1586">
        <f>IF($L$176=$A$176,"限度超過!",U137)</f>
        <v>0</v>
      </c>
      <c r="V139" s="1509" t="s">
        <v>6</v>
      </c>
      <c r="W139" s="30" t="s">
        <v>37</v>
      </c>
      <c r="X139" s="29">
        <f t="shared" si="90"/>
        <v>0</v>
      </c>
      <c r="Y139" s="1313" t="s">
        <v>44</v>
      </c>
      <c r="Z139" s="1420">
        <f>IF($AH$13&gt;0,0,BB139)</f>
        <v>0</v>
      </c>
      <c r="AA139" s="26"/>
      <c r="AB139" s="26"/>
      <c r="AC139" s="491"/>
      <c r="AD139" s="26"/>
      <c r="AE139" s="497" t="str">
        <f>IF($AG$2&gt;0,"限度超過",IF(X135+X136+X137+X138+X139+X140+Z135+Z136+Z137+Z138=Z139,"OK","エラー"))</f>
        <v>OK</v>
      </c>
      <c r="AF139" s="1508">
        <f>IF(H139&gt;0,IF(K136=0,0,ROUNDDOWN((E139*H139)-O139,0)),0)</f>
        <v>0</v>
      </c>
      <c r="AG139" s="26"/>
      <c r="AI139" s="173"/>
      <c r="AJ139" s="173"/>
      <c r="AK139" s="173"/>
      <c r="AL139" s="173"/>
      <c r="AM139" s="173"/>
      <c r="AN139" s="174"/>
      <c r="AO139" s="126" t="s">
        <v>37</v>
      </c>
      <c r="AP139" s="344">
        <f>ROUND((AP50-AP316)*AQ134,0)</f>
        <v>0</v>
      </c>
      <c r="AQ139" s="352" t="s">
        <v>44</v>
      </c>
      <c r="AR139" s="346">
        <f>AP135+AP136+AP137+AP138+AP139+AP140+AR135+AR136+AR137+AR138</f>
        <v>0</v>
      </c>
      <c r="AS139" s="350"/>
      <c r="AT139" s="126" t="s">
        <v>37</v>
      </c>
      <c r="AU139" s="344">
        <f>IF(AV134=0,0,IF(AV134&gt;=6,1,IF(AV134&lt;=-6,-1,0)))</f>
        <v>0</v>
      </c>
      <c r="AV139" s="352" t="s">
        <v>44</v>
      </c>
      <c r="AW139" s="353">
        <f>AU135+AU136+AU137+AU138+AU139+AU140+AW135+AW136+AW137+AW138</f>
        <v>0</v>
      </c>
      <c r="AX139" s="318"/>
      <c r="AY139" s="262" t="s">
        <v>37</v>
      </c>
      <c r="AZ139" s="372">
        <f t="shared" si="91"/>
        <v>0</v>
      </c>
      <c r="BA139" s="320" t="s">
        <v>44</v>
      </c>
      <c r="BB139" s="417">
        <f>IF($AG$2&gt;0,"限度超過",AZ135+AZ136+AZ137+AZ138+AZ139+AZ140+BB135+BB136+BB137+BB138)</f>
        <v>0</v>
      </c>
      <c r="BC139" s="318"/>
      <c r="BD139" s="448" t="s">
        <v>37</v>
      </c>
      <c r="BE139" s="81">
        <f t="shared" si="92"/>
        <v>0</v>
      </c>
      <c r="BF139" s="440" t="s">
        <v>44</v>
      </c>
      <c r="BG139" s="29">
        <f>IF($A$176=$L$176,"限度超過",BE135+BE136+BE137+BE138+BE139+BE140+BG135+BG136+BG137+BG138)</f>
        <v>0</v>
      </c>
      <c r="BH139" s="12"/>
      <c r="BI139" s="30" t="s">
        <v>37</v>
      </c>
      <c r="BJ139" s="29">
        <f t="shared" si="93"/>
        <v>0</v>
      </c>
      <c r="BK139" s="98" t="s">
        <v>44</v>
      </c>
      <c r="BL139" s="29">
        <f>IF($A$176=$L$176,"限度超過",BJ135+BJ136+BJ137+BJ138+BJ139+BJ140+BL135+BL136+BL137+BL138)</f>
        <v>0</v>
      </c>
      <c r="BM139" s="12"/>
      <c r="BN139" s="30" t="s">
        <v>37</v>
      </c>
      <c r="BO139" s="29">
        <f t="shared" si="94"/>
        <v>0</v>
      </c>
      <c r="BP139" s="98" t="s">
        <v>44</v>
      </c>
      <c r="BQ139" s="29">
        <f>IF($A$176=$L$176,"限度超過",BO135+BO136+BO137+BO138+BO139+BO140+BQ135+BQ136+BQ137+BQ138)</f>
        <v>0</v>
      </c>
      <c r="BR139" s="446"/>
      <c r="BS139" s="12"/>
      <c r="BT139" s="12"/>
      <c r="BU139" s="12"/>
      <c r="BV139" s="12"/>
      <c r="BW139" s="12"/>
      <c r="BX139" s="32" t="s">
        <v>26</v>
      </c>
      <c r="BY139" s="26">
        <f>H139</f>
        <v>0</v>
      </c>
      <c r="BZ139" s="99">
        <f t="shared" si="95"/>
        <v>0</v>
      </c>
      <c r="CA139" s="99">
        <f t="shared" si="95"/>
        <v>0</v>
      </c>
      <c r="CB139" s="99">
        <f t="shared" si="95"/>
        <v>0</v>
      </c>
      <c r="CC139" s="576">
        <f>CB139</f>
        <v>0</v>
      </c>
      <c r="CD139" s="4"/>
      <c r="CE139" s="4"/>
      <c r="CF139" s="4"/>
      <c r="CG139" s="4"/>
      <c r="CH139" s="4"/>
      <c r="CI139" s="13"/>
    </row>
    <row r="140" spans="1:87" ht="18" customHeight="1">
      <c r="A140" s="1378"/>
      <c r="B140" s="12"/>
      <c r="C140" s="12"/>
      <c r="D140" s="1379"/>
      <c r="E140" s="1389"/>
      <c r="F140" s="12"/>
      <c r="G140" s="1010"/>
      <c r="H140" s="1390"/>
      <c r="I140" s="1385"/>
      <c r="J140" s="1010"/>
      <c r="K140" s="180">
        <f>IF(H139&gt;0,K137,0)</f>
        <v>0</v>
      </c>
      <c r="L140" s="12" t="s">
        <v>5</v>
      </c>
      <c r="M140" s="1527"/>
      <c r="N140" s="1548"/>
      <c r="O140" s="1526"/>
      <c r="P140" s="1526"/>
      <c r="Q140" s="1392"/>
      <c r="R140" s="1391"/>
      <c r="S140" s="1520"/>
      <c r="T140" s="1582"/>
      <c r="U140" s="1587"/>
      <c r="V140" s="1510"/>
      <c r="W140" s="30" t="s">
        <v>38</v>
      </c>
      <c r="X140" s="29">
        <f t="shared" si="90"/>
        <v>0</v>
      </c>
      <c r="Y140" s="1422"/>
      <c r="Z140" s="1421"/>
      <c r="AA140" s="26"/>
      <c r="AB140" s="26"/>
      <c r="AC140" s="491"/>
      <c r="AD140" s="26"/>
      <c r="AE140" s="486"/>
      <c r="AF140" s="1424"/>
      <c r="AG140" s="26"/>
      <c r="AH140" s="26"/>
      <c r="AI140" s="173"/>
      <c r="AJ140" s="173"/>
      <c r="AK140" s="173"/>
      <c r="AL140" s="173"/>
      <c r="AM140" s="173"/>
      <c r="AN140" s="174"/>
      <c r="AO140" s="126" t="s">
        <v>38</v>
      </c>
      <c r="AP140" s="344">
        <f>ROUND((AP51-AP317)*AQ134,0)</f>
        <v>0</v>
      </c>
      <c r="AQ140" s="351" t="s">
        <v>75</v>
      </c>
      <c r="AR140" s="330">
        <f>IF($AG$2&gt;0,"限度超過",U139)</f>
        <v>0</v>
      </c>
      <c r="AS140" s="347"/>
      <c r="AT140" s="126" t="s">
        <v>38</v>
      </c>
      <c r="AU140" s="344">
        <f>IF(AV134=0,0,IF(AV134&gt;=5,1,IF(AV134&lt;=-5,-1,0)))</f>
        <v>0</v>
      </c>
      <c r="AV140" s="351"/>
      <c r="AW140" s="354" t="str">
        <f>IF(AU135+AU136+AU137+AU138+AU139+AU140+AW135+AW136+AW137+AW138=AV134,"計算ＯＫ","エラー発生")</f>
        <v>計算ＯＫ</v>
      </c>
      <c r="AX140" s="318"/>
      <c r="AY140" s="262" t="s">
        <v>38</v>
      </c>
      <c r="AZ140" s="372">
        <f t="shared" si="91"/>
        <v>0</v>
      </c>
      <c r="BA140" s="319"/>
      <c r="BB140" s="418">
        <f>IF($AG$2&gt;0,"限度超過",IF($A$176=$L$176,"限度超過",$U$109))</f>
        <v>5500</v>
      </c>
      <c r="BC140" s="318"/>
      <c r="BD140" s="448" t="s">
        <v>38</v>
      </c>
      <c r="BE140" s="81">
        <f t="shared" si="92"/>
        <v>0</v>
      </c>
      <c r="BF140" s="82"/>
      <c r="BG140" s="100"/>
      <c r="BH140" s="12"/>
      <c r="BI140" s="30" t="s">
        <v>38</v>
      </c>
      <c r="BJ140" s="29">
        <f t="shared" si="93"/>
        <v>0</v>
      </c>
      <c r="BK140" s="30"/>
      <c r="BL140" s="100"/>
      <c r="BM140" s="12"/>
      <c r="BN140" s="30" t="s">
        <v>38</v>
      </c>
      <c r="BO140" s="29">
        <f t="shared" si="94"/>
        <v>0</v>
      </c>
      <c r="BP140" s="30"/>
      <c r="BQ140" s="100"/>
      <c r="BR140" s="446"/>
      <c r="BS140" s="12"/>
      <c r="BT140" s="12"/>
      <c r="BU140" s="12"/>
      <c r="BV140" s="12"/>
      <c r="BW140" s="12"/>
      <c r="BX140" s="67" t="s">
        <v>27</v>
      </c>
      <c r="BY140" s="45">
        <f>IF(BY139&gt;0,ROUNDDOWN(BY136*BY139*BY137/BY138,0),0)</f>
        <v>0</v>
      </c>
      <c r="BZ140" s="45">
        <f>IF(BZ139&gt;0,ROUNDDOWN(BZ136*BZ139*BZ137/BZ138,0),0)</f>
        <v>0</v>
      </c>
      <c r="CA140" s="45">
        <f>IF(CA139&gt;0,ROUNDDOWN(CA136*CA139*CA137/CA138,0),0)</f>
        <v>0</v>
      </c>
      <c r="CB140" s="45">
        <f>IF(CB139&gt;0,ROUNDDOWN(CB136*CB139*CB137/CB138,0),0)</f>
        <v>0</v>
      </c>
      <c r="CC140" s="576">
        <v>0</v>
      </c>
      <c r="CD140" s="4"/>
      <c r="CE140" s="4"/>
      <c r="CF140" s="4"/>
      <c r="CG140" s="4"/>
      <c r="CH140" s="4"/>
      <c r="CI140" s="13"/>
    </row>
    <row r="141" spans="1:87" ht="18" customHeight="1">
      <c r="A141" s="200"/>
      <c r="B141" s="75" t="s">
        <v>118</v>
      </c>
      <c r="C141" s="12"/>
      <c r="D141" s="160"/>
      <c r="E141" s="161"/>
      <c r="F141" s="12"/>
      <c r="G141" s="50"/>
      <c r="H141" s="162"/>
      <c r="I141" s="159"/>
      <c r="J141" s="50"/>
      <c r="K141" s="180"/>
      <c r="L141" s="12"/>
      <c r="M141" s="86"/>
      <c r="N141" s="86"/>
      <c r="O141" s="181"/>
      <c r="P141" s="181"/>
      <c r="Q141" s="156"/>
      <c r="R141" s="157"/>
      <c r="S141" s="49"/>
      <c r="T141" s="50"/>
      <c r="U141" s="182"/>
      <c r="V141" s="50"/>
      <c r="W141" s="4"/>
      <c r="X141" s="26"/>
      <c r="Y141" s="170"/>
      <c r="Z141" s="185"/>
      <c r="AA141" s="4"/>
      <c r="AB141" s="4"/>
      <c r="AC141" s="489"/>
      <c r="AD141" s="4"/>
      <c r="AE141" s="74"/>
      <c r="AF141" s="234"/>
      <c r="AG141" s="4"/>
      <c r="AH141" s="4"/>
      <c r="AI141" s="174"/>
      <c r="AJ141" s="174"/>
      <c r="AK141" s="174"/>
      <c r="AL141" s="174"/>
      <c r="AM141" s="174"/>
      <c r="AN141" s="174"/>
      <c r="AO141" s="348"/>
      <c r="AP141" s="348"/>
      <c r="AQ141" s="349"/>
      <c r="AR141" s="349"/>
      <c r="AS141" s="347"/>
      <c r="AT141" s="347"/>
      <c r="AU141" s="347"/>
      <c r="AV141" s="347"/>
      <c r="AW141" s="347"/>
      <c r="AX141" s="318"/>
      <c r="AY141" s="419"/>
      <c r="AZ141" s="348"/>
      <c r="BA141" s="349"/>
      <c r="BB141" s="464" t="str">
        <f>IF(BB139=BB140,"OK","エラー")</f>
        <v>エラー</v>
      </c>
      <c r="BC141" s="318"/>
      <c r="BD141" s="449"/>
      <c r="BF141" s="4" t="s">
        <v>257</v>
      </c>
      <c r="BH141" s="12"/>
      <c r="BM141" s="12"/>
      <c r="BR141" s="446"/>
      <c r="BS141" s="12"/>
      <c r="BT141" s="12"/>
      <c r="BU141" s="12"/>
      <c r="BV141" s="12"/>
      <c r="BW141" s="12"/>
      <c r="BX141" s="32" t="s">
        <v>340</v>
      </c>
      <c r="BY141" s="576">
        <f>IF(入力画面!E27=1,1,0)</f>
        <v>0</v>
      </c>
      <c r="BZ141" s="576">
        <f>IF($BY$141=1,ROUNDDOWN($CF$101*BZ137/BZ138,0),0)</f>
        <v>0</v>
      </c>
      <c r="CA141" s="576">
        <f>IF($BY$141=1,ROUNDDOWN($CG$101*CA137/CA138,0),0)</f>
        <v>0</v>
      </c>
      <c r="CB141" s="576">
        <f>IF($BY$141=1,ROUNDDOWN($CH$101*CB137/CB138,0),0)</f>
        <v>0</v>
      </c>
      <c r="CC141" s="576">
        <f>IF($BY$141=1,ROUNDDOWN($CE$101*CC137/CC138,0),0)</f>
        <v>0</v>
      </c>
      <c r="CD141" s="4"/>
      <c r="CE141" s="4"/>
      <c r="CF141" s="4"/>
      <c r="CG141" s="4"/>
      <c r="CH141" s="4"/>
      <c r="CI141" s="13"/>
    </row>
    <row r="142" spans="1:87" ht="18" customHeight="1">
      <c r="A142" s="58" t="s">
        <v>1</v>
      </c>
      <c r="B142" s="52"/>
      <c r="C142" s="187">
        <f>IF(H139&gt;0,$X$102,0)</f>
        <v>0</v>
      </c>
      <c r="D142" s="201" t="s">
        <v>6</v>
      </c>
      <c r="E142" s="60" t="s">
        <v>131</v>
      </c>
      <c r="F142" s="1377">
        <f>K136</f>
        <v>0</v>
      </c>
      <c r="G142" s="1377"/>
      <c r="H142" s="214" t="s">
        <v>5</v>
      </c>
      <c r="I142" s="1388" t="s">
        <v>14</v>
      </c>
      <c r="J142" s="1388"/>
      <c r="K142" s="1377">
        <f>C142*F142</f>
        <v>0</v>
      </c>
      <c r="L142" s="1377"/>
      <c r="M142" s="202" t="s">
        <v>6</v>
      </c>
      <c r="N142" s="202"/>
      <c r="O142" s="203"/>
      <c r="P142" s="203"/>
      <c r="Q142" s="63"/>
      <c r="R142" s="204"/>
      <c r="S142" s="59"/>
      <c r="T142" s="27"/>
      <c r="U142" s="205"/>
      <c r="V142" s="27"/>
      <c r="W142" s="186"/>
      <c r="X142" s="187"/>
      <c r="Y142" s="206"/>
      <c r="Z142" s="163"/>
      <c r="AB142" s="4"/>
      <c r="AC142" s="489"/>
      <c r="AD142" s="4"/>
      <c r="AE142" s="74"/>
      <c r="AF142" s="235"/>
      <c r="AG142" s="4"/>
      <c r="AH142" s="4"/>
      <c r="AI142" s="174"/>
      <c r="AJ142" s="174"/>
      <c r="AK142" s="174"/>
      <c r="AL142" s="174"/>
      <c r="AM142" s="174"/>
      <c r="AN142" s="174"/>
      <c r="AO142" s="1407" t="s">
        <v>233</v>
      </c>
      <c r="AP142" s="1407"/>
      <c r="AQ142" s="1407"/>
      <c r="AR142" s="1407"/>
      <c r="AS142" s="347"/>
      <c r="AT142" s="1406" t="s">
        <v>229</v>
      </c>
      <c r="AU142" s="1406"/>
      <c r="AV142" s="347"/>
      <c r="AW142" s="347"/>
      <c r="AX142" s="318"/>
      <c r="AY142" s="1405" t="s">
        <v>229</v>
      </c>
      <c r="AZ142" s="1406"/>
      <c r="BA142" s="349"/>
      <c r="BB142" s="421"/>
      <c r="BC142" s="318"/>
      <c r="BD142" s="1453" t="s">
        <v>229</v>
      </c>
      <c r="BE142" s="1430"/>
      <c r="BF142" s="4" t="s">
        <v>258</v>
      </c>
      <c r="BH142" s="12"/>
      <c r="BI142" s="1430" t="s">
        <v>229</v>
      </c>
      <c r="BJ142" s="1430"/>
      <c r="BM142" s="12"/>
      <c r="BN142" s="1430" t="s">
        <v>229</v>
      </c>
      <c r="BO142" s="1430"/>
      <c r="BR142" s="446"/>
      <c r="BS142" s="12"/>
      <c r="BT142" s="12"/>
      <c r="BU142" s="12"/>
      <c r="BV142" s="12"/>
      <c r="BW142" s="12"/>
      <c r="BX142" s="4"/>
      <c r="BY142" s="26"/>
      <c r="BZ142" s="26"/>
      <c r="CA142" s="26"/>
      <c r="CB142" s="26"/>
      <c r="CC142" s="4"/>
      <c r="CD142" s="4"/>
      <c r="CE142" s="4"/>
      <c r="CF142" s="4"/>
      <c r="CG142" s="4"/>
      <c r="CH142" s="4"/>
      <c r="CI142" s="13"/>
    </row>
    <row r="143" spans="1:87" ht="18" customHeight="1">
      <c r="D143" s="101"/>
      <c r="E143" s="70"/>
      <c r="G143" s="9"/>
      <c r="H143" s="102"/>
      <c r="I143" s="5"/>
      <c r="J143" s="9"/>
      <c r="K143" s="18"/>
      <c r="M143" s="103"/>
      <c r="P143" s="103"/>
      <c r="Q143" s="70"/>
      <c r="R143" s="104"/>
      <c r="S143" s="68"/>
      <c r="T143" s="68"/>
      <c r="U143" s="68"/>
      <c r="V143" s="18"/>
      <c r="AA143" s="26"/>
      <c r="AB143" s="26"/>
      <c r="AC143" s="491"/>
      <c r="AD143" s="26"/>
      <c r="AE143" s="486"/>
      <c r="AF143" s="231"/>
      <c r="AG143" s="26"/>
      <c r="AH143" s="26"/>
      <c r="AI143" s="173"/>
      <c r="AJ143" s="179"/>
      <c r="AK143" s="179"/>
      <c r="AL143" s="179"/>
      <c r="AM143" s="179"/>
      <c r="AN143" s="174"/>
      <c r="AO143" s="367" t="s">
        <v>217</v>
      </c>
      <c r="AP143" s="1401" t="s">
        <v>232</v>
      </c>
      <c r="AQ143" s="1401"/>
      <c r="AR143" s="1401"/>
      <c r="AS143" s="369"/>
      <c r="AT143" s="1413" t="s">
        <v>218</v>
      </c>
      <c r="AU143" s="1413"/>
      <c r="AV143" s="1413"/>
      <c r="AW143" s="1413"/>
      <c r="AX143" s="318"/>
      <c r="AY143" s="416" t="s">
        <v>224</v>
      </c>
      <c r="AZ143" s="1448" t="s">
        <v>223</v>
      </c>
      <c r="BA143" s="1448"/>
      <c r="BB143" s="1449"/>
      <c r="BC143" s="318"/>
      <c r="BD143" s="1426" t="s">
        <v>261</v>
      </c>
      <c r="BE143" s="1427"/>
      <c r="BF143" s="1427"/>
      <c r="BG143" s="1427"/>
      <c r="BH143" s="12"/>
      <c r="BI143" s="437" t="s">
        <v>262</v>
      </c>
      <c r="BJ143" s="1438" t="s">
        <v>260</v>
      </c>
      <c r="BK143" s="1438"/>
      <c r="BL143" s="1438"/>
      <c r="BM143" s="12"/>
      <c r="BN143" s="12"/>
      <c r="BO143" s="143" t="s">
        <v>263</v>
      </c>
      <c r="BP143" s="12" t="s">
        <v>88</v>
      </c>
      <c r="BQ143" s="12"/>
      <c r="BR143" s="446"/>
      <c r="BS143" s="12"/>
      <c r="BT143" s="12"/>
      <c r="BU143" s="12"/>
      <c r="BV143" s="12"/>
      <c r="BW143" s="12"/>
      <c r="BX143" s="4"/>
      <c r="BY143" s="4"/>
      <c r="BZ143" s="4"/>
      <c r="CA143" s="4"/>
      <c r="CB143" s="4"/>
      <c r="CC143" s="4"/>
      <c r="CD143" s="4"/>
      <c r="CE143" s="4"/>
      <c r="CF143" s="4"/>
      <c r="CG143" s="4"/>
      <c r="CH143" s="4"/>
      <c r="CI143" s="13"/>
    </row>
    <row r="144" spans="1:87" ht="18" customHeight="1">
      <c r="A144" s="194" t="s">
        <v>55</v>
      </c>
      <c r="B144" s="1396">
        <f>B55</f>
        <v>0</v>
      </c>
      <c r="C144" s="1396"/>
      <c r="D144" s="1396"/>
      <c r="E144" s="196" t="s">
        <v>11</v>
      </c>
      <c r="F144" s="1398" t="s">
        <v>57</v>
      </c>
      <c r="G144" s="1398"/>
      <c r="H144" s="1399"/>
      <c r="I144" s="1380">
        <f>IF(I55=1,1,0)</f>
        <v>0</v>
      </c>
      <c r="J144" s="1381"/>
      <c r="K144" s="1515">
        <f>IF(H149=0,0,IF($K$97=0, "加入月が未入力です!！",IF($L$176=$A$176,"限度超過額に達しているため計算不可能!!",IF(U146-U145=U147,"エラー名前を入力されているが加入月未入力!！",IF(H149&gt;K146,"加入月未入力エラー!！",0)))))</f>
        <v>0</v>
      </c>
      <c r="L144" s="1516"/>
      <c r="M144" s="1516"/>
      <c r="N144" s="1516"/>
      <c r="O144" s="1516"/>
      <c r="P144" s="1516"/>
      <c r="Q144" s="1516"/>
      <c r="R144" s="1516"/>
      <c r="S144" s="1517"/>
      <c r="T144" s="195" t="s">
        <v>47</v>
      </c>
      <c r="U144" s="1417">
        <f>IF(U149&gt;0,"支援分",0)</f>
        <v>0</v>
      </c>
      <c r="V144" s="1418"/>
      <c r="W144" s="1419" t="s">
        <v>46</v>
      </c>
      <c r="X144" s="1278"/>
      <c r="Y144" s="1278"/>
      <c r="Z144" s="1279"/>
      <c r="AA144" s="26"/>
      <c r="AB144" s="26"/>
      <c r="AC144" s="491"/>
      <c r="AD144" s="26"/>
      <c r="AE144" s="486"/>
      <c r="AF144" s="236" t="s">
        <v>117</v>
      </c>
      <c r="AG144" s="26"/>
      <c r="AH144" s="274">
        <f>IF(K146=0,0,IF(K146&lt;12,1,0))</f>
        <v>0</v>
      </c>
      <c r="AI144" s="173"/>
      <c r="AJ144" s="179"/>
      <c r="AK144" s="179"/>
      <c r="AL144" s="179"/>
      <c r="AM144" s="179"/>
      <c r="AN144" s="366" t="s">
        <v>148</v>
      </c>
      <c r="AO144" s="1319" t="s">
        <v>220</v>
      </c>
      <c r="AP144" s="1402"/>
      <c r="AQ144" s="1403">
        <f>IF(AR60=0,0,ROUNDDOWN(AR150/(AW61+AR150),8))</f>
        <v>0</v>
      </c>
      <c r="AR144" s="1404"/>
      <c r="AS144" s="370"/>
      <c r="AT144" s="1319" t="s">
        <v>213</v>
      </c>
      <c r="AU144" s="1402"/>
      <c r="AV144" s="1411">
        <f>IF($AG$2&gt;0,0,AR150-AR149)</f>
        <v>0</v>
      </c>
      <c r="AW144" s="1412"/>
      <c r="AX144" s="318"/>
      <c r="AY144" s="1408" t="s">
        <v>46</v>
      </c>
      <c r="AZ144" s="1402"/>
      <c r="BA144" s="1450">
        <f>IF(R146+R149=0,0,IF(K147&gt;K146,"期割がアンマッチ使用禁止↓",0))</f>
        <v>0</v>
      </c>
      <c r="BB144" s="1451"/>
      <c r="BC144" s="318"/>
      <c r="BD144" s="1435" t="s">
        <v>46</v>
      </c>
      <c r="BE144" s="1434"/>
      <c r="BF144" s="1436" t="s">
        <v>87</v>
      </c>
      <c r="BG144" s="1437"/>
      <c r="BH144" s="12"/>
      <c r="BI144" s="1253" t="s">
        <v>89</v>
      </c>
      <c r="BJ144" s="1434"/>
      <c r="BK144" s="438"/>
      <c r="BL144" s="439"/>
      <c r="BM144" s="12"/>
      <c r="BN144" s="1253" t="s">
        <v>46</v>
      </c>
      <c r="BO144" s="1434"/>
      <c r="BP144" s="1431"/>
      <c r="BQ144" s="1433"/>
      <c r="BR144" s="446"/>
      <c r="BS144" s="12"/>
      <c r="BT144" s="12"/>
      <c r="BU144" s="12"/>
      <c r="BV144" s="12"/>
      <c r="BW144" s="12"/>
      <c r="BX144" s="4"/>
      <c r="BY144" s="4"/>
      <c r="BZ144" s="4"/>
      <c r="CA144" s="4"/>
      <c r="CB144" s="4"/>
      <c r="CC144" s="4"/>
      <c r="CD144" s="4"/>
      <c r="CE144" s="4"/>
      <c r="CF144" s="4"/>
      <c r="CG144" s="4"/>
      <c r="CH144" s="4"/>
      <c r="CI144" s="13"/>
    </row>
    <row r="145" spans="1:87" ht="18" customHeight="1">
      <c r="A145" s="165"/>
      <c r="B145" s="12"/>
      <c r="C145" s="75" t="s">
        <v>33</v>
      </c>
      <c r="D145" s="12"/>
      <c r="E145" s="12"/>
      <c r="F145" s="1394" t="s">
        <v>433</v>
      </c>
      <c r="G145" s="1394"/>
      <c r="H145" s="1394"/>
      <c r="I145" s="1380">
        <f>IF(I56=1,1,0)</f>
        <v>0</v>
      </c>
      <c r="J145" s="1381"/>
      <c r="K145" s="76" t="s">
        <v>9</v>
      </c>
      <c r="L145" s="12"/>
      <c r="M145" s="1551"/>
      <c r="N145" s="1551"/>
      <c r="O145" s="1551"/>
      <c r="P145" s="1551"/>
      <c r="Q145" s="1551"/>
      <c r="R145" s="1551"/>
      <c r="S145" s="1552"/>
      <c r="T145" s="72" t="s">
        <v>30</v>
      </c>
      <c r="U145" s="105">
        <f>R146+R149</f>
        <v>0</v>
      </c>
      <c r="V145" s="88" t="s">
        <v>6</v>
      </c>
      <c r="W145" s="80" t="s">
        <v>34</v>
      </c>
      <c r="X145" s="29">
        <f t="shared" ref="X145:X150" si="96">IF($AH$13&gt;0,0,AZ145)</f>
        <v>0</v>
      </c>
      <c r="Y145" s="80" t="s">
        <v>39</v>
      </c>
      <c r="Z145" s="31">
        <f>IF($AH$13&gt;0,0,BB145)</f>
        <v>0</v>
      </c>
      <c r="AA145" s="26"/>
      <c r="AB145" s="26"/>
      <c r="AC145" s="491"/>
      <c r="AD145" s="26"/>
      <c r="AE145" s="486"/>
      <c r="AF145" s="217">
        <f>AF146+AF149+AF152</f>
        <v>0</v>
      </c>
      <c r="AG145" s="26"/>
      <c r="AH145" s="26"/>
      <c r="AI145" s="173"/>
      <c r="AJ145" s="173"/>
      <c r="AK145" s="173"/>
      <c r="AL145" s="173"/>
      <c r="AM145" s="173"/>
      <c r="AN145" s="174"/>
      <c r="AO145" s="126" t="s">
        <v>34</v>
      </c>
      <c r="AP145" s="344">
        <f>ROUND((AP56-AP322)*AQ144,0)</f>
        <v>0</v>
      </c>
      <c r="AQ145" s="351" t="s">
        <v>39</v>
      </c>
      <c r="AR145" s="345">
        <f>ROUND((AR56-AR322)*AQ144,0)</f>
        <v>0</v>
      </c>
      <c r="AS145" s="371"/>
      <c r="AT145" s="126" t="s">
        <v>34</v>
      </c>
      <c r="AU145" s="344">
        <f>IF(AV144=0,0,IF(AV144&gt;=10,1,IF(AV144&lt;=-10,-1,0)))</f>
        <v>0</v>
      </c>
      <c r="AV145" s="351" t="s">
        <v>39</v>
      </c>
      <c r="AW145" s="345">
        <f>IF(AV144=0,0,IF(AV144&gt;=4,1,IF(AV144&lt;=-4,-1,0)))</f>
        <v>0</v>
      </c>
      <c r="AX145" s="318"/>
      <c r="AY145" s="258" t="s">
        <v>34</v>
      </c>
      <c r="AZ145" s="372">
        <f t="shared" ref="AZ145:AZ150" si="97">IF($AG$2&gt;0,"限度超過",IF($A$176=$L$176,"限度超過",AP145+AU145))</f>
        <v>0</v>
      </c>
      <c r="BA145" s="319" t="s">
        <v>39</v>
      </c>
      <c r="BB145" s="127">
        <f>IF($AG$2&gt;0,"限度超過",IF($A$176=$L$176,"限度超過",AR145+AW145))</f>
        <v>0</v>
      </c>
      <c r="BC145" s="318"/>
      <c r="BD145" s="448" t="s">
        <v>34</v>
      </c>
      <c r="BE145" s="81">
        <f t="shared" ref="BE145:BE150" si="98">BE135</f>
        <v>0</v>
      </c>
      <c r="BF145" s="82" t="s">
        <v>39</v>
      </c>
      <c r="BG145" s="29">
        <f>BG135</f>
        <v>0</v>
      </c>
      <c r="BH145" s="12"/>
      <c r="BI145" s="80" t="s">
        <v>34</v>
      </c>
      <c r="BJ145" s="29">
        <f t="shared" ref="BJ145:BJ150" si="99">IF($A$176=$L$176,"限度超過",IF(BE145=0,0,BE145/$S$94))</f>
        <v>0</v>
      </c>
      <c r="BK145" s="80" t="s">
        <v>39</v>
      </c>
      <c r="BL145" s="29">
        <f>IF($A$176=$L$176,"限度超過",IF(BG145=0,0,BG145/$S$94))</f>
        <v>0</v>
      </c>
      <c r="BM145" s="12"/>
      <c r="BN145" s="30" t="s">
        <v>34</v>
      </c>
      <c r="BO145" s="29">
        <f t="shared" ref="BO145:BO150" si="100">IF($A$176=$L$176,"限度超過",IF($S$94&lt;=4,0,BJ145))</f>
        <v>0</v>
      </c>
      <c r="BP145" s="80" t="s">
        <v>39</v>
      </c>
      <c r="BQ145" s="29">
        <f>IF($A$176=$L$176,"限度超過",IF($S$94&lt;=4,0,BL145))</f>
        <v>0</v>
      </c>
      <c r="BR145" s="446"/>
      <c r="BS145" s="12"/>
      <c r="BT145" s="12"/>
      <c r="BU145" s="12"/>
      <c r="BV145" s="12"/>
      <c r="BW145" s="12"/>
      <c r="BX145" s="32"/>
      <c r="BY145" s="33" t="str">
        <f>BY135</f>
        <v>料率</v>
      </c>
      <c r="BZ145" s="33">
        <f>BZ135</f>
        <v>7</v>
      </c>
      <c r="CA145" s="33">
        <f>CA135</f>
        <v>5</v>
      </c>
      <c r="CB145" s="33">
        <f>CB135</f>
        <v>2</v>
      </c>
      <c r="CC145" s="576" t="s">
        <v>341</v>
      </c>
      <c r="CD145" s="4"/>
      <c r="CE145" s="4"/>
      <c r="CF145" s="4"/>
      <c r="CG145" s="4"/>
      <c r="CH145" s="4"/>
      <c r="CI145" s="13"/>
    </row>
    <row r="146" spans="1:87" ht="18" customHeight="1">
      <c r="A146" s="1378" t="s">
        <v>0</v>
      </c>
      <c r="B146" s="1556" t="s">
        <v>129</v>
      </c>
      <c r="C146" s="1382">
        <f>C57</f>
        <v>0</v>
      </c>
      <c r="D146" s="1010" t="s">
        <v>58</v>
      </c>
      <c r="E146" s="1389">
        <f>IF(H149&gt;0,$CE$100, 0)</f>
        <v>0</v>
      </c>
      <c r="F146" s="1395" t="s">
        <v>22</v>
      </c>
      <c r="G146" s="1010" t="s">
        <v>59</v>
      </c>
      <c r="H146" s="85">
        <f>IF(H149&gt;0,$CE$96,0)</f>
        <v>0</v>
      </c>
      <c r="I146" s="1385" t="s">
        <v>22</v>
      </c>
      <c r="J146" s="1010" t="s">
        <v>59</v>
      </c>
      <c r="K146" s="51">
        <f>K57</f>
        <v>0</v>
      </c>
      <c r="L146" s="52" t="s">
        <v>5</v>
      </c>
      <c r="M146" s="1395"/>
      <c r="N146" s="1527"/>
      <c r="O146" s="86"/>
      <c r="P146" s="1392" t="s">
        <v>130</v>
      </c>
      <c r="Q146" s="1392"/>
      <c r="R146" s="1391">
        <f>ROUNDDOWN(IF(((C146-E146)*H146/H147)*K146/K147&lt;0,0,((C146-E146)*H146/H147)*K146/K147),0)</f>
        <v>0</v>
      </c>
      <c r="S146" s="1520" t="s">
        <v>6</v>
      </c>
      <c r="T146" s="72" t="s">
        <v>1</v>
      </c>
      <c r="U146" s="105">
        <f>IF(H149=0,0,K152)</f>
        <v>0</v>
      </c>
      <c r="V146" s="88" t="s">
        <v>6</v>
      </c>
      <c r="W146" s="30" t="s">
        <v>35</v>
      </c>
      <c r="X146" s="29">
        <f t="shared" si="96"/>
        <v>0</v>
      </c>
      <c r="Y146" s="30" t="s">
        <v>40</v>
      </c>
      <c r="Z146" s="31">
        <f>IF($AH$13&gt;0,0,BB146)</f>
        <v>0</v>
      </c>
      <c r="AA146" s="26"/>
      <c r="AB146" s="26"/>
      <c r="AC146" s="491"/>
      <c r="AD146" s="26"/>
      <c r="AE146" s="486"/>
      <c r="AF146" s="1423">
        <f>ROUNDDOWN(IF(((C146-E146)*H146/H147)&lt;0,0,((C146-E146)*H146/H147)),0)</f>
        <v>0</v>
      </c>
      <c r="AG146" s="26"/>
      <c r="AH146" s="26"/>
      <c r="AI146" s="173"/>
      <c r="AJ146" s="173"/>
      <c r="AK146" s="173"/>
      <c r="AL146" s="173"/>
      <c r="AM146" s="173"/>
      <c r="AN146" s="174"/>
      <c r="AO146" s="126" t="s">
        <v>35</v>
      </c>
      <c r="AP146" s="344">
        <f>ROUND((AP57-AP323)*AQ144,0)</f>
        <v>0</v>
      </c>
      <c r="AQ146" s="351" t="s">
        <v>40</v>
      </c>
      <c r="AR146" s="345">
        <f>ROUND((AR57-AR323)*AQ144,0)</f>
        <v>0</v>
      </c>
      <c r="AS146" s="371"/>
      <c r="AT146" s="126" t="s">
        <v>35</v>
      </c>
      <c r="AU146" s="344">
        <f>IF(AV144=0,0,IF(AV144&gt;=9,1,IF(AV144&lt;=-9,-1,0)))</f>
        <v>0</v>
      </c>
      <c r="AV146" s="351" t="s">
        <v>40</v>
      </c>
      <c r="AW146" s="345">
        <f>IF(AV144=0,0,IF(AV144&gt;=3,1,IF(AV144&lt;=-3,-1,0)))</f>
        <v>0</v>
      </c>
      <c r="AX146" s="318"/>
      <c r="AY146" s="262" t="s">
        <v>35</v>
      </c>
      <c r="AZ146" s="372">
        <f t="shared" si="97"/>
        <v>0</v>
      </c>
      <c r="BA146" s="319" t="s">
        <v>40</v>
      </c>
      <c r="BB146" s="127">
        <f>IF($AG$2&gt;0,"限度超過",IF($A$176=$L$176,"限度超過",AR146+AW146))</f>
        <v>0</v>
      </c>
      <c r="BC146" s="318"/>
      <c r="BD146" s="448" t="s">
        <v>35</v>
      </c>
      <c r="BE146" s="81">
        <f t="shared" si="98"/>
        <v>0</v>
      </c>
      <c r="BF146" s="82" t="s">
        <v>40</v>
      </c>
      <c r="BG146" s="29">
        <f>BG136</f>
        <v>0</v>
      </c>
      <c r="BH146" s="12"/>
      <c r="BI146" s="30" t="s">
        <v>35</v>
      </c>
      <c r="BJ146" s="29">
        <f t="shared" si="99"/>
        <v>0</v>
      </c>
      <c r="BK146" s="30" t="s">
        <v>40</v>
      </c>
      <c r="BL146" s="29">
        <f>IF($A$176=$L$176,"限度超過",IF(BG146=0,0,BG146/$S$94))</f>
        <v>0</v>
      </c>
      <c r="BM146" s="12"/>
      <c r="BN146" s="30" t="s">
        <v>35</v>
      </c>
      <c r="BO146" s="29">
        <f t="shared" si="100"/>
        <v>0</v>
      </c>
      <c r="BP146" s="30" t="s">
        <v>40</v>
      </c>
      <c r="BQ146" s="29">
        <f>IF($A$176=$L$176,"限度超過",IF($S$94&lt;=4,0,BL146))</f>
        <v>0</v>
      </c>
      <c r="BR146" s="446"/>
      <c r="BS146" s="12"/>
      <c r="BT146" s="12"/>
      <c r="BU146" s="12"/>
      <c r="BV146" s="12"/>
      <c r="BW146" s="12"/>
      <c r="BX146" s="32" t="s">
        <v>17</v>
      </c>
      <c r="BY146" s="44">
        <v>0</v>
      </c>
      <c r="BZ146" s="45">
        <f>$CF$97</f>
        <v>6440</v>
      </c>
      <c r="CA146" s="45">
        <f>$CG$97</f>
        <v>4600</v>
      </c>
      <c r="CB146" s="45">
        <f>$CH$97</f>
        <v>1840</v>
      </c>
      <c r="CC146" s="576"/>
      <c r="CD146" s="4"/>
      <c r="CE146" s="4"/>
      <c r="CF146" s="4"/>
      <c r="CG146" s="4"/>
      <c r="CH146" s="4"/>
      <c r="CI146" s="13"/>
    </row>
    <row r="147" spans="1:87" ht="18" customHeight="1">
      <c r="A147" s="1378"/>
      <c r="B147" s="1556"/>
      <c r="C147" s="1382"/>
      <c r="D147" s="1010"/>
      <c r="E147" s="1389"/>
      <c r="F147" s="1395"/>
      <c r="G147" s="1010"/>
      <c r="H147" s="39">
        <v>100</v>
      </c>
      <c r="I147" s="1385"/>
      <c r="J147" s="1010"/>
      <c r="K147" s="55">
        <v>12</v>
      </c>
      <c r="L147" s="12" t="s">
        <v>5</v>
      </c>
      <c r="M147" s="1395"/>
      <c r="N147" s="1527"/>
      <c r="O147" s="86"/>
      <c r="P147" s="1392"/>
      <c r="Q147" s="1392"/>
      <c r="R147" s="1391"/>
      <c r="S147" s="1520"/>
      <c r="T147" s="72" t="s">
        <v>29</v>
      </c>
      <c r="U147" s="105">
        <f>U145+U146</f>
        <v>0</v>
      </c>
      <c r="V147" s="88" t="s">
        <v>6</v>
      </c>
      <c r="W147" s="30" t="s">
        <v>36</v>
      </c>
      <c r="X147" s="29">
        <f t="shared" si="96"/>
        <v>0</v>
      </c>
      <c r="Y147" s="30" t="s">
        <v>41</v>
      </c>
      <c r="Z147" s="31">
        <f>IF($AH$13&gt;0,0,BB147)</f>
        <v>0</v>
      </c>
      <c r="AA147" s="26"/>
      <c r="AB147" s="26"/>
      <c r="AC147" s="491"/>
      <c r="AD147" s="26"/>
      <c r="AE147" s="486"/>
      <c r="AF147" s="1424"/>
      <c r="AG147" s="26"/>
      <c r="AH147" s="26"/>
      <c r="AI147" s="173"/>
      <c r="AJ147" s="173"/>
      <c r="AK147" s="173"/>
      <c r="AL147" s="173"/>
      <c r="AM147" s="173"/>
      <c r="AN147" s="174"/>
      <c r="AO147" s="126" t="s">
        <v>36</v>
      </c>
      <c r="AP147" s="344">
        <f>ROUND((AP58-AP324)*AQ144,0)</f>
        <v>0</v>
      </c>
      <c r="AQ147" s="351" t="s">
        <v>41</v>
      </c>
      <c r="AR147" s="345">
        <f>ROUND((AR58-AR324)*AQ144,0)</f>
        <v>0</v>
      </c>
      <c r="AS147" s="350"/>
      <c r="AT147" s="126" t="s">
        <v>36</v>
      </c>
      <c r="AU147" s="344">
        <f>IF(AV144=0,0,IF(AV144&gt;=8,1,IF(AV144&lt;=-8,-1,0)))</f>
        <v>0</v>
      </c>
      <c r="AV147" s="351" t="s">
        <v>41</v>
      </c>
      <c r="AW147" s="345">
        <f>IF(AV144=0,0,IF(AV144&gt;=2,1,IF(AV144&lt;=-2,-1,0)))</f>
        <v>0</v>
      </c>
      <c r="AX147" s="318"/>
      <c r="AY147" s="262" t="s">
        <v>36</v>
      </c>
      <c r="AZ147" s="372">
        <f t="shared" si="97"/>
        <v>0</v>
      </c>
      <c r="BA147" s="319" t="s">
        <v>41</v>
      </c>
      <c r="BB147" s="127">
        <f>IF($AG$2&gt;0,"限度超過",IF($A$176=$L$176,"限度超過",AR147+AW147))</f>
        <v>0</v>
      </c>
      <c r="BC147" s="318"/>
      <c r="BD147" s="448" t="s">
        <v>36</v>
      </c>
      <c r="BE147" s="81">
        <f t="shared" si="98"/>
        <v>0</v>
      </c>
      <c r="BF147" s="82" t="s">
        <v>41</v>
      </c>
      <c r="BG147" s="29">
        <f>BG137</f>
        <v>0</v>
      </c>
      <c r="BH147" s="12"/>
      <c r="BI147" s="30" t="s">
        <v>36</v>
      </c>
      <c r="BJ147" s="29">
        <f t="shared" si="99"/>
        <v>0</v>
      </c>
      <c r="BK147" s="30" t="s">
        <v>41</v>
      </c>
      <c r="BL147" s="29">
        <f>IF($A$176=$L$176,"限度超過",IF(BG147=0,0,BG147/$S$94))</f>
        <v>0</v>
      </c>
      <c r="BM147" s="12"/>
      <c r="BN147" s="30" t="s">
        <v>36</v>
      </c>
      <c r="BO147" s="29">
        <f t="shared" si="100"/>
        <v>0</v>
      </c>
      <c r="BP147" s="30" t="s">
        <v>41</v>
      </c>
      <c r="BQ147" s="29">
        <f>IF($A$176=$L$176,"限度超過",IF($S$94&lt;=4,0,BL147))</f>
        <v>0</v>
      </c>
      <c r="BR147" s="446"/>
      <c r="BS147" s="12"/>
      <c r="BT147" s="12"/>
      <c r="BU147" s="12"/>
      <c r="BV147" s="12"/>
      <c r="BW147" s="12"/>
      <c r="BX147" s="32" t="s">
        <v>8</v>
      </c>
      <c r="BY147" s="45">
        <f>K149</f>
        <v>0</v>
      </c>
      <c r="BZ147" s="45">
        <f t="shared" ref="BZ147:CB149" si="101">BY147</f>
        <v>0</v>
      </c>
      <c r="CA147" s="45">
        <f t="shared" si="101"/>
        <v>0</v>
      </c>
      <c r="CB147" s="45">
        <f t="shared" si="101"/>
        <v>0</v>
      </c>
      <c r="CC147" s="576">
        <f>CB147</f>
        <v>0</v>
      </c>
      <c r="CD147" s="4"/>
      <c r="CE147" s="4"/>
      <c r="CF147" s="4"/>
      <c r="CG147" s="4"/>
      <c r="CH147" s="4"/>
      <c r="CI147" s="13"/>
    </row>
    <row r="148" spans="1:87" ht="18" customHeight="1">
      <c r="A148" s="165"/>
      <c r="B148" s="12"/>
      <c r="C148" s="50"/>
      <c r="D148" s="12"/>
      <c r="E148" s="12"/>
      <c r="F148" s="12"/>
      <c r="G148" s="12"/>
      <c r="H148" s="91"/>
      <c r="I148" s="75"/>
      <c r="J148" s="75"/>
      <c r="K148" s="92"/>
      <c r="L148" s="75"/>
      <c r="M148" s="93"/>
      <c r="N148" s="578">
        <f>IF(入力画面!E32=1,"未就学児",0)</f>
        <v>0</v>
      </c>
      <c r="O148" s="42">
        <f>IF(H149=0,0,$D$94)</f>
        <v>0</v>
      </c>
      <c r="P148" s="463">
        <f>IF(O149=0,0,"軽減額")</f>
        <v>0</v>
      </c>
      <c r="Q148" s="12"/>
      <c r="R148" s="95"/>
      <c r="S148" s="49"/>
      <c r="T148" s="96" t="s">
        <v>31</v>
      </c>
      <c r="U148" s="105">
        <f>ROUNDDOWN(U147,-2)</f>
        <v>0</v>
      </c>
      <c r="V148" s="88" t="s">
        <v>6</v>
      </c>
      <c r="W148" s="30" t="s">
        <v>43</v>
      </c>
      <c r="X148" s="29">
        <f t="shared" si="96"/>
        <v>0</v>
      </c>
      <c r="Y148" s="30" t="s">
        <v>42</v>
      </c>
      <c r="Z148" s="31">
        <f>IF($AH$13&gt;0,0,BB148)</f>
        <v>0</v>
      </c>
      <c r="AA148" s="4"/>
      <c r="AB148" s="4"/>
      <c r="AC148" s="489"/>
      <c r="AD148" s="4"/>
      <c r="AE148" s="497" t="str">
        <f>IF($AH$13&gt;0,"－",IF($AG$2&gt;0,"限度超過",IF(U149=Z149,"OK","ｱﾝﾏｯﾁ")))</f>
        <v>OK</v>
      </c>
      <c r="AF148" s="496"/>
      <c r="AG148" s="4"/>
      <c r="AI148" s="174"/>
      <c r="AJ148" s="174"/>
      <c r="AK148" s="174"/>
      <c r="AL148" s="174"/>
      <c r="AM148" s="174"/>
      <c r="AN148" s="174"/>
      <c r="AO148" s="126" t="s">
        <v>43</v>
      </c>
      <c r="AP148" s="344">
        <f>ROUND((AP59-AP325)*AQ144,0)</f>
        <v>0</v>
      </c>
      <c r="AQ148" s="351" t="s">
        <v>42</v>
      </c>
      <c r="AR148" s="345">
        <f>ROUND((AR59-AR325)*AQ144,0)</f>
        <v>0</v>
      </c>
      <c r="AS148" s="350"/>
      <c r="AT148" s="126" t="s">
        <v>43</v>
      </c>
      <c r="AU148" s="344">
        <f>IF(AV144=0,0,IF(AV144&gt;=7,1,IF(AV144&lt;=-7,-1,0)))</f>
        <v>0</v>
      </c>
      <c r="AV148" s="351" t="s">
        <v>42</v>
      </c>
      <c r="AW148" s="345">
        <f>IF(AV144=0,0,IF(AV144&gt;=1,1,IF(AV144&lt;=-1,-1,0)))</f>
        <v>0</v>
      </c>
      <c r="AX148" s="318"/>
      <c r="AY148" s="262" t="s">
        <v>43</v>
      </c>
      <c r="AZ148" s="372">
        <f t="shared" si="97"/>
        <v>0</v>
      </c>
      <c r="BA148" s="319" t="s">
        <v>42</v>
      </c>
      <c r="BB148" s="127">
        <f>IF($AG$2&gt;0,"限度超過",IF($A$176=$L$176,"限度超過",AR148+AW148))</f>
        <v>0</v>
      </c>
      <c r="BC148" s="318"/>
      <c r="BD148" s="448" t="s">
        <v>43</v>
      </c>
      <c r="BE148" s="81">
        <f t="shared" si="98"/>
        <v>0</v>
      </c>
      <c r="BF148" s="82" t="s">
        <v>42</v>
      </c>
      <c r="BG148" s="29">
        <f>BG138</f>
        <v>0</v>
      </c>
      <c r="BH148" s="12"/>
      <c r="BI148" s="30" t="s">
        <v>43</v>
      </c>
      <c r="BJ148" s="29">
        <f t="shared" si="99"/>
        <v>0</v>
      </c>
      <c r="BK148" s="30" t="s">
        <v>42</v>
      </c>
      <c r="BL148" s="29">
        <f>IF($A$176=$L$176,"限度超過",IF(BG148=0,0,BG148/$S$94))</f>
        <v>0</v>
      </c>
      <c r="BM148" s="12"/>
      <c r="BN148" s="30" t="s">
        <v>43</v>
      </c>
      <c r="BO148" s="29">
        <f t="shared" si="100"/>
        <v>0</v>
      </c>
      <c r="BP148" s="30" t="s">
        <v>42</v>
      </c>
      <c r="BQ148" s="29">
        <f>IF($A$176=$L$176,"限度超過",IF($S$94&lt;=4,0,BL148))</f>
        <v>0</v>
      </c>
      <c r="BR148" s="446"/>
      <c r="BS148" s="12"/>
      <c r="BT148" s="12"/>
      <c r="BU148" s="12"/>
      <c r="BV148" s="12"/>
      <c r="BW148" s="12"/>
      <c r="BX148" s="32" t="s">
        <v>25</v>
      </c>
      <c r="BY148" s="45">
        <f>K150</f>
        <v>0</v>
      </c>
      <c r="BZ148" s="45">
        <f t="shared" si="101"/>
        <v>0</v>
      </c>
      <c r="CA148" s="45">
        <f t="shared" si="101"/>
        <v>0</v>
      </c>
      <c r="CB148" s="45">
        <f t="shared" si="101"/>
        <v>0</v>
      </c>
      <c r="CC148" s="576">
        <f>CB148</f>
        <v>0</v>
      </c>
      <c r="CD148" s="4"/>
      <c r="CE148" s="4"/>
      <c r="CF148" s="4"/>
      <c r="CG148" s="4"/>
      <c r="CH148" s="4"/>
      <c r="CI148" s="13"/>
    </row>
    <row r="149" spans="1:87" ht="18" customHeight="1">
      <c r="A149" s="1378" t="s">
        <v>10</v>
      </c>
      <c r="B149" s="12"/>
      <c r="C149" s="12"/>
      <c r="D149" s="1379" t="s">
        <v>7</v>
      </c>
      <c r="E149" s="1389">
        <f>IF(H149&gt;0,$CE$97,0)</f>
        <v>0</v>
      </c>
      <c r="F149" s="97"/>
      <c r="G149" s="1010" t="s">
        <v>59</v>
      </c>
      <c r="H149" s="1390">
        <f>IF(B144=0,0,SUBTOTAL(3,B144))</f>
        <v>0</v>
      </c>
      <c r="I149" s="1385" t="s">
        <v>22</v>
      </c>
      <c r="J149" s="1010" t="s">
        <v>59</v>
      </c>
      <c r="K149" s="51">
        <f>IF(H149&gt;0,K146,0)</f>
        <v>0</v>
      </c>
      <c r="L149" s="52" t="s">
        <v>5</v>
      </c>
      <c r="M149" s="1527" t="s">
        <v>122</v>
      </c>
      <c r="N149" s="1548">
        <f>IF(O149=0,0,"―")</f>
        <v>0</v>
      </c>
      <c r="O149" s="1525">
        <f>IF(H149=0,0,IF(BY151=0,IF($D$94=7,BZ150,IF($D$94=5,CA150,IF($D$94=2,CB150,CC150))),IF($D$94=7,BZ150+BZ151,IF($D$94=5,CA150+CA151,IF($D$94=2,CB150+CB151,CC150+CC151)))))</f>
        <v>0</v>
      </c>
      <c r="P149" s="1526"/>
      <c r="Q149" s="1392" t="s">
        <v>130</v>
      </c>
      <c r="R149" s="1391">
        <f>IF(H149&gt;0,IF(K146=0,0,ROUNDDOWN(((E149*H149)*K149/K150)-O149,0)),0)</f>
        <v>0</v>
      </c>
      <c r="S149" s="1520" t="s">
        <v>6</v>
      </c>
      <c r="T149" s="1321" t="s">
        <v>32</v>
      </c>
      <c r="U149" s="1586">
        <f>IF($L$176=$A$176,"限度超過!",U147)</f>
        <v>0</v>
      </c>
      <c r="V149" s="1509" t="s">
        <v>6</v>
      </c>
      <c r="W149" s="30" t="s">
        <v>37</v>
      </c>
      <c r="X149" s="29">
        <f t="shared" si="96"/>
        <v>0</v>
      </c>
      <c r="Y149" s="1313" t="s">
        <v>44</v>
      </c>
      <c r="Z149" s="1420">
        <f>IF($AH$13&gt;0,0,BB149)</f>
        <v>0</v>
      </c>
      <c r="AB149" s="4"/>
      <c r="AC149" s="489"/>
      <c r="AD149" s="4"/>
      <c r="AE149" s="497" t="str">
        <f>IF($AG$2&gt;0,"限度超過",IF(X145+X146+X147+X148+X149+X150+Z145+Z146+Z147+Z148=Z149,"OK","エラー"))</f>
        <v>OK</v>
      </c>
      <c r="AF149" s="1508">
        <f>IF(H149&gt;0,IF(K146=0,0,ROUNDDOWN((E149*H149)-O149,0)),0)</f>
        <v>0</v>
      </c>
      <c r="AG149" s="4"/>
      <c r="AI149" s="174"/>
      <c r="AJ149" s="174"/>
      <c r="AK149" s="174"/>
      <c r="AL149" s="174"/>
      <c r="AM149" s="174"/>
      <c r="AN149" s="174"/>
      <c r="AO149" s="126" t="s">
        <v>37</v>
      </c>
      <c r="AP149" s="344">
        <f>ROUND((AP60-AP326)*AQ144,0)</f>
        <v>0</v>
      </c>
      <c r="AQ149" s="352" t="s">
        <v>44</v>
      </c>
      <c r="AR149" s="346">
        <f>AP145+AP146+AP147+AP148+AP149+AP150+AR145+AR146+AR147+AR148</f>
        <v>0</v>
      </c>
      <c r="AS149" s="350"/>
      <c r="AT149" s="126" t="s">
        <v>37</v>
      </c>
      <c r="AU149" s="344">
        <f>IF(AV144=0,0,IF(AV144&gt;=6,1,IF(AV144&lt;=-6,-1,0)))</f>
        <v>0</v>
      </c>
      <c r="AV149" s="352" t="s">
        <v>44</v>
      </c>
      <c r="AW149" s="353">
        <f>AU145+AU146+AU147+AU148+AU149+AU150+AW145+AW146+AW147+AW148</f>
        <v>0</v>
      </c>
      <c r="AX149" s="318"/>
      <c r="AY149" s="262" t="s">
        <v>37</v>
      </c>
      <c r="AZ149" s="372">
        <f t="shared" si="97"/>
        <v>0</v>
      </c>
      <c r="BA149" s="320" t="s">
        <v>44</v>
      </c>
      <c r="BB149" s="417">
        <f>IF($AG$2&gt;0,"限度超過",AZ145+AZ146+AZ147+AZ148+AZ149+AZ150+BB145+BB146+BB147+BB148)</f>
        <v>0</v>
      </c>
      <c r="BC149" s="318"/>
      <c r="BD149" s="448" t="s">
        <v>37</v>
      </c>
      <c r="BE149" s="81">
        <f t="shared" si="98"/>
        <v>0</v>
      </c>
      <c r="BF149" s="440" t="s">
        <v>44</v>
      </c>
      <c r="BG149" s="29">
        <f>IF($A$176=$L$176,"限度超過",BE145+BE146+BE147+BE148+BE149+BE150+BG145+BG146+BG147+BG148)</f>
        <v>0</v>
      </c>
      <c r="BH149" s="12"/>
      <c r="BI149" s="30" t="s">
        <v>37</v>
      </c>
      <c r="BJ149" s="29">
        <f t="shared" si="99"/>
        <v>0</v>
      </c>
      <c r="BK149" s="98" t="s">
        <v>44</v>
      </c>
      <c r="BL149" s="29">
        <f>IF($A$176=$L$176,"限度超過",BJ145+BJ146+BJ147+BJ148+BJ149+BJ150+BL145+BL146+BL147+BL148)</f>
        <v>0</v>
      </c>
      <c r="BM149" s="12"/>
      <c r="BN149" s="30" t="s">
        <v>37</v>
      </c>
      <c r="BO149" s="29">
        <f t="shared" si="100"/>
        <v>0</v>
      </c>
      <c r="BP149" s="98" t="s">
        <v>44</v>
      </c>
      <c r="BQ149" s="29">
        <f>IF($A$176=$L$176,"限度超過",BO145+BO146+BO147+BO148+BO149+BO150+BQ145+BQ146+BQ147+BQ148)</f>
        <v>0</v>
      </c>
      <c r="BR149" s="446"/>
      <c r="BS149" s="12"/>
      <c r="BT149" s="12"/>
      <c r="BU149" s="12"/>
      <c r="BV149" s="12"/>
      <c r="BW149" s="12"/>
      <c r="BX149" s="32" t="s">
        <v>26</v>
      </c>
      <c r="BY149" s="26">
        <f>H149</f>
        <v>0</v>
      </c>
      <c r="BZ149" s="99">
        <f t="shared" si="101"/>
        <v>0</v>
      </c>
      <c r="CA149" s="99">
        <f t="shared" si="101"/>
        <v>0</v>
      </c>
      <c r="CB149" s="99">
        <f t="shared" si="101"/>
        <v>0</v>
      </c>
      <c r="CC149" s="576">
        <f>CB149</f>
        <v>0</v>
      </c>
      <c r="CD149" s="4"/>
      <c r="CE149" s="4"/>
      <c r="CF149" s="4"/>
      <c r="CG149" s="4"/>
      <c r="CH149" s="4"/>
      <c r="CI149" s="13"/>
    </row>
    <row r="150" spans="1:87" ht="18" customHeight="1">
      <c r="A150" s="1378"/>
      <c r="B150" s="12"/>
      <c r="C150" s="12"/>
      <c r="D150" s="1379"/>
      <c r="E150" s="1389"/>
      <c r="F150" s="12"/>
      <c r="G150" s="1010"/>
      <c r="H150" s="1390"/>
      <c r="I150" s="1385"/>
      <c r="J150" s="1010"/>
      <c r="K150" s="180">
        <f>IF(H149&gt;0,K147,0)</f>
        <v>0</v>
      </c>
      <c r="L150" s="12" t="s">
        <v>5</v>
      </c>
      <c r="M150" s="1527"/>
      <c r="N150" s="1548"/>
      <c r="O150" s="1526"/>
      <c r="P150" s="1526"/>
      <c r="Q150" s="1392"/>
      <c r="R150" s="1391"/>
      <c r="S150" s="1520"/>
      <c r="T150" s="1582"/>
      <c r="U150" s="1587"/>
      <c r="V150" s="1510"/>
      <c r="W150" s="30" t="s">
        <v>38</v>
      </c>
      <c r="X150" s="29">
        <f t="shared" si="96"/>
        <v>0</v>
      </c>
      <c r="Y150" s="1422"/>
      <c r="Z150" s="1421"/>
      <c r="AA150" s="73"/>
      <c r="AB150" s="73"/>
      <c r="AC150" s="223"/>
      <c r="AD150" s="73"/>
      <c r="AE150" s="73"/>
      <c r="AF150" s="1424"/>
      <c r="AG150" s="73"/>
      <c r="AH150" s="189"/>
      <c r="AI150" s="175"/>
      <c r="AJ150" s="175"/>
      <c r="AK150" s="175"/>
      <c r="AL150" s="175"/>
      <c r="AM150" s="175"/>
      <c r="AN150" s="174"/>
      <c r="AO150" s="126" t="s">
        <v>38</v>
      </c>
      <c r="AP150" s="344">
        <f>ROUND((AP61-AP327)*AQ144,0)</f>
        <v>0</v>
      </c>
      <c r="AQ150" s="351" t="s">
        <v>75</v>
      </c>
      <c r="AR150" s="330">
        <f>IF($AG$2&gt;0,"限度超過",U149)</f>
        <v>0</v>
      </c>
      <c r="AS150" s="347"/>
      <c r="AT150" s="126" t="s">
        <v>38</v>
      </c>
      <c r="AU150" s="344">
        <f>IF(AV144=0,0,IF(AV144&gt;=5,1,IF(AV144&lt;=-5,-1,0)))</f>
        <v>0</v>
      </c>
      <c r="AV150" s="351"/>
      <c r="AW150" s="354" t="str">
        <f>IF(AU145+AU146+AU147+AU148+AU149+AU150+AW145+AW146+AW147+AW148=AV144,"計算ＯＫ","エラー発生")</f>
        <v>計算ＯＫ</v>
      </c>
      <c r="AX150" s="318"/>
      <c r="AY150" s="262" t="s">
        <v>38</v>
      </c>
      <c r="AZ150" s="372">
        <f t="shared" si="97"/>
        <v>0</v>
      </c>
      <c r="BA150" s="319"/>
      <c r="BB150" s="418">
        <f>IF($AG$2&gt;0,"限度超過",IF($A$176=$L$176,"限度超過",$U$109))</f>
        <v>5500</v>
      </c>
      <c r="BC150" s="318"/>
      <c r="BD150" s="448" t="s">
        <v>38</v>
      </c>
      <c r="BE150" s="81">
        <f t="shared" si="98"/>
        <v>0</v>
      </c>
      <c r="BF150" s="82"/>
      <c r="BG150" s="100"/>
      <c r="BH150" s="12"/>
      <c r="BI150" s="30" t="s">
        <v>38</v>
      </c>
      <c r="BJ150" s="29">
        <f t="shared" si="99"/>
        <v>0</v>
      </c>
      <c r="BK150" s="30"/>
      <c r="BL150" s="100"/>
      <c r="BM150" s="12"/>
      <c r="BN150" s="30" t="s">
        <v>38</v>
      </c>
      <c r="BO150" s="29">
        <f t="shared" si="100"/>
        <v>0</v>
      </c>
      <c r="BP150" s="30"/>
      <c r="BQ150" s="100"/>
      <c r="BR150" s="446"/>
      <c r="BS150" s="12"/>
      <c r="BT150" s="12"/>
      <c r="BU150" s="12"/>
      <c r="BV150" s="12"/>
      <c r="BW150" s="12"/>
      <c r="BX150" s="67" t="s">
        <v>27</v>
      </c>
      <c r="BY150" s="45">
        <f>IF(BY149&gt;0,ROUNDDOWN(BY146*BY149*BY147/BY148,0),0)</f>
        <v>0</v>
      </c>
      <c r="BZ150" s="45">
        <f>IF(BZ149&gt;0,ROUNDDOWN(BZ146*BZ149*BZ147/BZ148,0),0)</f>
        <v>0</v>
      </c>
      <c r="CA150" s="45">
        <f>IF(CA149&gt;0,ROUNDDOWN(CA146*CA149*CA147/CA148,0),0)</f>
        <v>0</v>
      </c>
      <c r="CB150" s="45">
        <f>IF(CB149&gt;0,ROUNDDOWN(CB146*CB149*CB147/CB148,0),0)</f>
        <v>0</v>
      </c>
      <c r="CC150" s="576">
        <v>0</v>
      </c>
      <c r="CD150" s="4"/>
      <c r="CE150" s="4"/>
      <c r="CF150" s="4"/>
      <c r="CG150" s="4"/>
      <c r="CH150" s="4"/>
      <c r="CI150" s="13"/>
    </row>
    <row r="151" spans="1:87" ht="18" customHeight="1">
      <c r="A151" s="200"/>
      <c r="B151" s="75" t="s">
        <v>118</v>
      </c>
      <c r="C151" s="12"/>
      <c r="D151" s="160"/>
      <c r="E151" s="161"/>
      <c r="F151" s="12"/>
      <c r="G151" s="50"/>
      <c r="H151" s="162"/>
      <c r="I151" s="159"/>
      <c r="J151" s="50"/>
      <c r="K151" s="180"/>
      <c r="L151" s="12"/>
      <c r="M151" s="86"/>
      <c r="N151" s="86"/>
      <c r="O151" s="181"/>
      <c r="P151" s="181"/>
      <c r="Q151" s="156"/>
      <c r="R151" s="157"/>
      <c r="S151" s="49"/>
      <c r="T151" s="50"/>
      <c r="U151" s="182"/>
      <c r="V151" s="50"/>
      <c r="W151" s="4"/>
      <c r="X151" s="26"/>
      <c r="Y151" s="170"/>
      <c r="Z151" s="185"/>
      <c r="AA151" s="26"/>
      <c r="AB151" s="26"/>
      <c r="AC151" s="491"/>
      <c r="AD151" s="26"/>
      <c r="AE151" s="486"/>
      <c r="AF151" s="234"/>
      <c r="AG151" s="26"/>
      <c r="AH151" s="26"/>
      <c r="AI151" s="173"/>
      <c r="AJ151" s="179"/>
      <c r="AK151" s="179"/>
      <c r="AL151" s="179"/>
      <c r="AM151" s="179"/>
      <c r="AN151" s="174"/>
      <c r="AO151" s="348"/>
      <c r="AP151" s="348"/>
      <c r="AQ151" s="349"/>
      <c r="AR151" s="349"/>
      <c r="AS151" s="347"/>
      <c r="AT151" s="347"/>
      <c r="AU151" s="347"/>
      <c r="AV151" s="347"/>
      <c r="AW151" s="347"/>
      <c r="AX151" s="318"/>
      <c r="AY151" s="419"/>
      <c r="AZ151" s="348"/>
      <c r="BA151" s="349"/>
      <c r="BB151" s="464" t="str">
        <f>IF(BB149=BB150,"OK","エラー")</f>
        <v>エラー</v>
      </c>
      <c r="BC151" s="318"/>
      <c r="BD151" s="449"/>
      <c r="BF151" s="4" t="s">
        <v>257</v>
      </c>
      <c r="BH151" s="12"/>
      <c r="BM151" s="12"/>
      <c r="BR151" s="446"/>
      <c r="BS151" s="12"/>
      <c r="BT151" s="12"/>
      <c r="BU151" s="12"/>
      <c r="BV151" s="12"/>
      <c r="BW151" s="12"/>
      <c r="BX151" s="32" t="s">
        <v>340</v>
      </c>
      <c r="BY151" s="576">
        <f>IF(入力画面!E32=1,1,0)</f>
        <v>0</v>
      </c>
      <c r="BZ151" s="576">
        <f>IF($BY$151=1,ROUNDDOWN($CF$101*BZ147/BZ148,0),0)</f>
        <v>0</v>
      </c>
      <c r="CA151" s="576">
        <f>IF($BY$151=1,ROUNDDOWN($CG$101*CA147/CA148,0),0)</f>
        <v>0</v>
      </c>
      <c r="CB151" s="576">
        <f>IF($BY$151=1,ROUNDDOWN($CH$101*CB147/CB148,0),0)</f>
        <v>0</v>
      </c>
      <c r="CC151" s="576">
        <f>IF($BY$151=1,ROUNDDOWN($CE$101*CC147/CC148,0),0)</f>
        <v>0</v>
      </c>
      <c r="CD151" s="4"/>
      <c r="CE151" s="4"/>
      <c r="CF151" s="4"/>
      <c r="CG151" s="4"/>
      <c r="CH151" s="4"/>
      <c r="CI151" s="13"/>
    </row>
    <row r="152" spans="1:87" ht="18" customHeight="1">
      <c r="A152" s="58" t="s">
        <v>1</v>
      </c>
      <c r="B152" s="52"/>
      <c r="C152" s="187">
        <f>IF(H149&gt;0,$X$102,0)</f>
        <v>0</v>
      </c>
      <c r="D152" s="201" t="s">
        <v>6</v>
      </c>
      <c r="E152" s="60" t="s">
        <v>131</v>
      </c>
      <c r="F152" s="1377">
        <f>K146</f>
        <v>0</v>
      </c>
      <c r="G152" s="1377"/>
      <c r="H152" s="214" t="s">
        <v>5</v>
      </c>
      <c r="I152" s="1388" t="s">
        <v>14</v>
      </c>
      <c r="J152" s="1388"/>
      <c r="K152" s="1377">
        <f>C152*F152</f>
        <v>0</v>
      </c>
      <c r="L152" s="1377"/>
      <c r="M152" s="202" t="s">
        <v>6</v>
      </c>
      <c r="N152" s="202"/>
      <c r="O152" s="203"/>
      <c r="P152" s="203"/>
      <c r="Q152" s="63"/>
      <c r="R152" s="204"/>
      <c r="S152" s="59"/>
      <c r="T152" s="27"/>
      <c r="U152" s="205"/>
      <c r="V152" s="27"/>
      <c r="W152" s="186"/>
      <c r="X152" s="187"/>
      <c r="Y152" s="206"/>
      <c r="Z152" s="163"/>
      <c r="AA152" s="26"/>
      <c r="AB152" s="26"/>
      <c r="AC152" s="491"/>
      <c r="AD152" s="26"/>
      <c r="AE152" s="486"/>
      <c r="AF152" s="235"/>
      <c r="AG152" s="26"/>
      <c r="AH152" s="26"/>
      <c r="AI152" s="173"/>
      <c r="AJ152" s="179"/>
      <c r="AK152" s="179"/>
      <c r="AL152" s="179"/>
      <c r="AM152" s="179"/>
      <c r="AN152" s="174"/>
      <c r="AO152" s="1407" t="s">
        <v>233</v>
      </c>
      <c r="AP152" s="1407"/>
      <c r="AQ152" s="1407"/>
      <c r="AR152" s="1407"/>
      <c r="AS152" s="347"/>
      <c r="AT152" s="1406" t="s">
        <v>230</v>
      </c>
      <c r="AU152" s="1406"/>
      <c r="AV152" s="347"/>
      <c r="AW152" s="347"/>
      <c r="AX152" s="318"/>
      <c r="AY152" s="420" t="s">
        <v>230</v>
      </c>
      <c r="AZ152" s="373"/>
      <c r="BA152" s="349"/>
      <c r="BB152" s="421"/>
      <c r="BC152" s="318"/>
      <c r="BD152" s="450" t="s">
        <v>230</v>
      </c>
      <c r="BE152" s="399"/>
      <c r="BF152" s="4" t="s">
        <v>258</v>
      </c>
      <c r="BH152" s="12"/>
      <c r="BI152" s="399" t="s">
        <v>230</v>
      </c>
      <c r="BJ152" s="399"/>
      <c r="BM152" s="12"/>
      <c r="BN152" s="399" t="s">
        <v>230</v>
      </c>
      <c r="BO152" s="399"/>
      <c r="BR152" s="446"/>
      <c r="BS152" s="12"/>
      <c r="BT152" s="12"/>
      <c r="BU152" s="12"/>
      <c r="BV152" s="12"/>
      <c r="BW152" s="12"/>
      <c r="BX152" s="4"/>
      <c r="BY152" s="26"/>
      <c r="BZ152" s="26"/>
      <c r="CA152" s="26"/>
      <c r="CB152" s="26"/>
      <c r="CC152" s="4"/>
      <c r="CD152" s="4"/>
      <c r="CE152" s="4"/>
      <c r="CF152" s="4"/>
      <c r="CG152" s="4"/>
      <c r="CH152" s="4"/>
      <c r="CI152" s="13"/>
    </row>
    <row r="153" spans="1:87" ht="18" customHeight="1">
      <c r="D153" s="101"/>
      <c r="E153" s="70"/>
      <c r="G153" s="9"/>
      <c r="H153" s="102"/>
      <c r="I153" s="5"/>
      <c r="J153" s="9"/>
      <c r="K153" s="18"/>
      <c r="M153" s="103"/>
      <c r="P153" s="103"/>
      <c r="Q153" s="70"/>
      <c r="R153" s="104"/>
      <c r="S153" s="68"/>
      <c r="T153" s="68"/>
      <c r="U153" s="68"/>
      <c r="V153" s="18"/>
      <c r="AA153" s="26"/>
      <c r="AB153" s="26"/>
      <c r="AC153" s="491"/>
      <c r="AD153" s="26"/>
      <c r="AE153" s="486"/>
      <c r="AF153" s="231"/>
      <c r="AG153" s="26"/>
      <c r="AH153" s="26"/>
      <c r="AI153" s="173"/>
      <c r="AJ153" s="173"/>
      <c r="AK153" s="173"/>
      <c r="AL153" s="173"/>
      <c r="AM153" s="173"/>
      <c r="AN153" s="174"/>
      <c r="AO153" s="367" t="s">
        <v>217</v>
      </c>
      <c r="AP153" s="1401" t="s">
        <v>232</v>
      </c>
      <c r="AQ153" s="1401"/>
      <c r="AR153" s="1401"/>
      <c r="AS153" s="369"/>
      <c r="AT153" s="1413" t="s">
        <v>218</v>
      </c>
      <c r="AU153" s="1413"/>
      <c r="AV153" s="1413"/>
      <c r="AW153" s="1413"/>
      <c r="AX153" s="318"/>
      <c r="AY153" s="416" t="s">
        <v>224</v>
      </c>
      <c r="AZ153" s="1448" t="s">
        <v>223</v>
      </c>
      <c r="BA153" s="1448"/>
      <c r="BB153" s="1449"/>
      <c r="BC153" s="318"/>
      <c r="BD153" s="1426" t="s">
        <v>261</v>
      </c>
      <c r="BE153" s="1427"/>
      <c r="BF153" s="1427"/>
      <c r="BG153" s="1427"/>
      <c r="BH153" s="12"/>
      <c r="BI153" s="437" t="s">
        <v>262</v>
      </c>
      <c r="BJ153" s="1438" t="s">
        <v>260</v>
      </c>
      <c r="BK153" s="1438"/>
      <c r="BL153" s="1438"/>
      <c r="BM153" s="12"/>
      <c r="BN153" s="12"/>
      <c r="BO153" s="143" t="s">
        <v>263</v>
      </c>
      <c r="BP153" s="12" t="s">
        <v>88</v>
      </c>
      <c r="BQ153" s="12"/>
      <c r="BR153" s="446"/>
      <c r="BS153" s="12"/>
      <c r="BT153" s="12"/>
      <c r="BU153" s="12"/>
      <c r="BV153" s="12"/>
      <c r="BW153" s="12"/>
      <c r="BX153" s="4"/>
      <c r="BY153" s="4"/>
      <c r="BZ153" s="4"/>
      <c r="CA153" s="4"/>
      <c r="CB153" s="4"/>
      <c r="CC153" s="4"/>
      <c r="CD153" s="4"/>
      <c r="CE153" s="4"/>
      <c r="CF153" s="4"/>
      <c r="CG153" s="4"/>
      <c r="CH153" s="4"/>
      <c r="CI153" s="13"/>
    </row>
    <row r="154" spans="1:87" ht="18" customHeight="1">
      <c r="A154" s="194" t="s">
        <v>45</v>
      </c>
      <c r="B154" s="1396">
        <f>B65</f>
        <v>0</v>
      </c>
      <c r="C154" s="1396"/>
      <c r="D154" s="1396"/>
      <c r="E154" s="196" t="s">
        <v>11</v>
      </c>
      <c r="F154" s="1398" t="s">
        <v>57</v>
      </c>
      <c r="G154" s="1398"/>
      <c r="H154" s="1399"/>
      <c r="I154" s="1380">
        <f>IF(I65=1,1,0)</f>
        <v>0</v>
      </c>
      <c r="J154" s="1381"/>
      <c r="K154" s="1515">
        <f>IF(H159=0,0,IF($K$97=0, "加入月が未入力です!！",IF($L$176=$A$176,"限度超過額に達しているため計算不可能!!",IF(U156-U155=U157,"エラー名前を入力されているが加入月未入力!！",IF(H159&gt;K156,"加入月未入力エラー!！",0)))))</f>
        <v>0</v>
      </c>
      <c r="L154" s="1516"/>
      <c r="M154" s="1516"/>
      <c r="N154" s="1516"/>
      <c r="O154" s="1516"/>
      <c r="P154" s="1516"/>
      <c r="Q154" s="1516"/>
      <c r="R154" s="1516"/>
      <c r="S154" s="1517"/>
      <c r="T154" s="195" t="s">
        <v>47</v>
      </c>
      <c r="U154" s="1417">
        <f>IF(U159&gt;0,"支援分",0)</f>
        <v>0</v>
      </c>
      <c r="V154" s="1418"/>
      <c r="W154" s="1419" t="s">
        <v>46</v>
      </c>
      <c r="X154" s="1278"/>
      <c r="Y154" s="1278"/>
      <c r="Z154" s="1279"/>
      <c r="AA154" s="26"/>
      <c r="AB154" s="26"/>
      <c r="AC154" s="491"/>
      <c r="AD154" s="26"/>
      <c r="AE154" s="486"/>
      <c r="AF154" s="236" t="s">
        <v>117</v>
      </c>
      <c r="AG154" s="26"/>
      <c r="AH154" s="274">
        <f>IF(K156=0,0,IF(K156&lt;12,1,0))</f>
        <v>0</v>
      </c>
      <c r="AI154" s="173"/>
      <c r="AJ154" s="173"/>
      <c r="AK154" s="173"/>
      <c r="AL154" s="173"/>
      <c r="AM154" s="173"/>
      <c r="AN154" s="366" t="s">
        <v>149</v>
      </c>
      <c r="AO154" s="1319" t="s">
        <v>220</v>
      </c>
      <c r="AP154" s="1402"/>
      <c r="AQ154" s="1403">
        <f>IF(AR70=0,0,ROUNDDOWN(AR160/(AW71+AR160),8))</f>
        <v>0</v>
      </c>
      <c r="AR154" s="1404"/>
      <c r="AS154" s="370"/>
      <c r="AT154" s="1319" t="s">
        <v>213</v>
      </c>
      <c r="AU154" s="1402"/>
      <c r="AV154" s="1411">
        <f>IF($AG$2&gt;0,0,AR160-AR159)</f>
        <v>0</v>
      </c>
      <c r="AW154" s="1412"/>
      <c r="AX154" s="318"/>
      <c r="AY154" s="1408" t="s">
        <v>46</v>
      </c>
      <c r="AZ154" s="1402"/>
      <c r="BA154" s="1450">
        <f>IF(R156+R159=0,0,IF(K157&gt;K156,"期割がアンマッチ使用禁止↓",0))</f>
        <v>0</v>
      </c>
      <c r="BB154" s="1451"/>
      <c r="BC154" s="318"/>
      <c r="BD154" s="1435" t="s">
        <v>46</v>
      </c>
      <c r="BE154" s="1434"/>
      <c r="BF154" s="1436" t="s">
        <v>87</v>
      </c>
      <c r="BG154" s="1437"/>
      <c r="BH154" s="12"/>
      <c r="BI154" s="1253" t="s">
        <v>89</v>
      </c>
      <c r="BJ154" s="1434"/>
      <c r="BK154" s="438"/>
      <c r="BL154" s="439"/>
      <c r="BM154" s="12"/>
      <c r="BN154" s="1253" t="s">
        <v>46</v>
      </c>
      <c r="BO154" s="1434"/>
      <c r="BP154" s="1431"/>
      <c r="BQ154" s="1433"/>
      <c r="BR154" s="446"/>
      <c r="BS154" s="12"/>
      <c r="BT154" s="12"/>
      <c r="BU154" s="12"/>
      <c r="BV154" s="12"/>
      <c r="BW154" s="12"/>
      <c r="BX154" s="4"/>
      <c r="BY154" s="4"/>
      <c r="BZ154" s="4"/>
      <c r="CA154" s="4"/>
      <c r="CB154" s="4"/>
      <c r="CC154" s="4"/>
      <c r="CD154" s="4"/>
      <c r="CE154" s="4"/>
      <c r="CF154" s="4"/>
      <c r="CG154" s="4"/>
      <c r="CH154" s="4"/>
      <c r="CI154" s="13"/>
    </row>
    <row r="155" spans="1:87" ht="18" customHeight="1">
      <c r="A155" s="165"/>
      <c r="B155" s="12"/>
      <c r="C155" s="75" t="s">
        <v>33</v>
      </c>
      <c r="D155" s="12"/>
      <c r="E155" s="12"/>
      <c r="F155" s="1394" t="s">
        <v>433</v>
      </c>
      <c r="G155" s="1394"/>
      <c r="H155" s="1394"/>
      <c r="I155" s="1380">
        <f>IF(I66=1,1,0)</f>
        <v>0</v>
      </c>
      <c r="J155" s="1381"/>
      <c r="K155" s="76" t="s">
        <v>9</v>
      </c>
      <c r="L155" s="12"/>
      <c r="M155" s="1551"/>
      <c r="N155" s="1551"/>
      <c r="O155" s="1551"/>
      <c r="P155" s="1551"/>
      <c r="Q155" s="1551"/>
      <c r="R155" s="1551"/>
      <c r="S155" s="1552"/>
      <c r="T155" s="72" t="s">
        <v>30</v>
      </c>
      <c r="U155" s="105">
        <f>R156+R159</f>
        <v>0</v>
      </c>
      <c r="V155" s="88" t="s">
        <v>6</v>
      </c>
      <c r="W155" s="80" t="s">
        <v>34</v>
      </c>
      <c r="X155" s="29">
        <f t="shared" ref="X155:X160" si="102">IF($AH$13&gt;0,0,AZ155)</f>
        <v>0</v>
      </c>
      <c r="Y155" s="80" t="s">
        <v>39</v>
      </c>
      <c r="Z155" s="31">
        <f>IF($AH$13&gt;0,0,BB155)</f>
        <v>0</v>
      </c>
      <c r="AA155" s="4"/>
      <c r="AB155" s="4"/>
      <c r="AC155" s="489"/>
      <c r="AD155" s="4"/>
      <c r="AE155" s="74"/>
      <c r="AF155" s="217">
        <f>AF156+AF159+AF162</f>
        <v>0</v>
      </c>
      <c r="AG155" s="4"/>
      <c r="AH155" s="4"/>
      <c r="AI155" s="174"/>
      <c r="AJ155" s="174"/>
      <c r="AK155" s="174"/>
      <c r="AL155" s="174"/>
      <c r="AM155" s="174"/>
      <c r="AN155" s="174"/>
      <c r="AO155" s="126" t="s">
        <v>34</v>
      </c>
      <c r="AP155" s="344">
        <f>ROUND((AP66-AP332)*AQ154,0)</f>
        <v>0</v>
      </c>
      <c r="AQ155" s="351" t="s">
        <v>39</v>
      </c>
      <c r="AR155" s="345">
        <f>ROUND((AR66-AR332)*AQ154,0)</f>
        <v>0</v>
      </c>
      <c r="AS155" s="371"/>
      <c r="AT155" s="126" t="s">
        <v>34</v>
      </c>
      <c r="AU155" s="344">
        <f>IF(AV154=0,0,IF(AV154&gt;=10,1,IF(AV154&lt;=-10,-1,0)))</f>
        <v>0</v>
      </c>
      <c r="AV155" s="351" t="s">
        <v>39</v>
      </c>
      <c r="AW155" s="345">
        <f>IF(AV154=0,0,IF(AV154&gt;=4,1,IF(AV154&lt;=-4,-1,0)))</f>
        <v>0</v>
      </c>
      <c r="AX155" s="318"/>
      <c r="AY155" s="258" t="s">
        <v>34</v>
      </c>
      <c r="AZ155" s="372">
        <f t="shared" ref="AZ155:AZ160" si="103">IF($AG$2&gt;0,"限度超過",IF($A$176=$L$176,"限度超過",AP155+AU155))</f>
        <v>0</v>
      </c>
      <c r="BA155" s="319" t="s">
        <v>39</v>
      </c>
      <c r="BB155" s="127">
        <f>IF($AG$2&gt;0,"限度超過",IF($A$176=$L$176,"限度超過",AR155+AW155))</f>
        <v>0</v>
      </c>
      <c r="BC155" s="318"/>
      <c r="BD155" s="448" t="s">
        <v>34</v>
      </c>
      <c r="BE155" s="81">
        <f t="shared" ref="BE155:BE160" si="104">BE145</f>
        <v>0</v>
      </c>
      <c r="BF155" s="82" t="s">
        <v>39</v>
      </c>
      <c r="BG155" s="29">
        <f>BG145</f>
        <v>0</v>
      </c>
      <c r="BH155" s="12"/>
      <c r="BI155" s="80" t="s">
        <v>34</v>
      </c>
      <c r="BJ155" s="29">
        <f t="shared" ref="BJ155:BJ160" si="105">IF($A$176=$L$176,"限度超過",IF(BE155=0,0,BE155/$S$94))</f>
        <v>0</v>
      </c>
      <c r="BK155" s="80" t="s">
        <v>39</v>
      </c>
      <c r="BL155" s="29">
        <f>IF($A$176=$L$176,"限度超過",IF(BG155=0,0,BG155/$S$94))</f>
        <v>0</v>
      </c>
      <c r="BM155" s="12"/>
      <c r="BN155" s="30" t="s">
        <v>34</v>
      </c>
      <c r="BO155" s="29">
        <f t="shared" ref="BO155:BO160" si="106">IF($A$176=$L$176,"限度超過",IF($S$94&lt;=5,0,BJ155))</f>
        <v>0</v>
      </c>
      <c r="BP155" s="80" t="s">
        <v>39</v>
      </c>
      <c r="BQ155" s="29">
        <f>IF($A$176=$L$176,"限度超過",IF($S$94&lt;=5,0,BL155))</f>
        <v>0</v>
      </c>
      <c r="BR155" s="446"/>
      <c r="BS155" s="12"/>
      <c r="BT155" s="12"/>
      <c r="BU155" s="12"/>
      <c r="BV155" s="12"/>
      <c r="BW155" s="12"/>
      <c r="BX155" s="32"/>
      <c r="BY155" s="33" t="str">
        <f>BY145</f>
        <v>料率</v>
      </c>
      <c r="BZ155" s="33">
        <f>BZ145</f>
        <v>7</v>
      </c>
      <c r="CA155" s="33">
        <f>CA145</f>
        <v>5</v>
      </c>
      <c r="CB155" s="33">
        <f>CB145</f>
        <v>2</v>
      </c>
      <c r="CC155" s="576" t="s">
        <v>341</v>
      </c>
      <c r="CD155" s="4"/>
      <c r="CE155" s="4"/>
      <c r="CF155" s="4"/>
      <c r="CG155" s="4"/>
      <c r="CH155" s="4"/>
      <c r="CI155" s="13"/>
    </row>
    <row r="156" spans="1:87" ht="18" customHeight="1">
      <c r="A156" s="1378" t="s">
        <v>0</v>
      </c>
      <c r="B156" s="1556" t="s">
        <v>129</v>
      </c>
      <c r="C156" s="1382">
        <f>C67</f>
        <v>0</v>
      </c>
      <c r="D156" s="1010" t="s">
        <v>58</v>
      </c>
      <c r="E156" s="1389">
        <f>IF(H159&gt;0,$CE$100, 0)</f>
        <v>0</v>
      </c>
      <c r="F156" s="1395" t="s">
        <v>22</v>
      </c>
      <c r="G156" s="1010" t="s">
        <v>59</v>
      </c>
      <c r="H156" s="85">
        <f>IF(H159&gt;0,$CE$96,0)</f>
        <v>0</v>
      </c>
      <c r="I156" s="1385" t="s">
        <v>22</v>
      </c>
      <c r="J156" s="1010" t="s">
        <v>59</v>
      </c>
      <c r="K156" s="51">
        <f>K67</f>
        <v>0</v>
      </c>
      <c r="L156" s="52" t="s">
        <v>5</v>
      </c>
      <c r="M156" s="1395"/>
      <c r="N156" s="1527"/>
      <c r="O156" s="86"/>
      <c r="P156" s="1392" t="s">
        <v>130</v>
      </c>
      <c r="Q156" s="1392"/>
      <c r="R156" s="1391">
        <f>ROUNDDOWN(IF(((C156-E156)*H156/H157)*K156/K157&lt;0,0,((C156-E156)*H156/H157)*K156/K157),0)</f>
        <v>0</v>
      </c>
      <c r="S156" s="1520" t="s">
        <v>6</v>
      </c>
      <c r="T156" s="72" t="s">
        <v>1</v>
      </c>
      <c r="U156" s="105">
        <f>IF(H159=0,0,K162)</f>
        <v>0</v>
      </c>
      <c r="V156" s="88" t="s">
        <v>6</v>
      </c>
      <c r="W156" s="30" t="s">
        <v>35</v>
      </c>
      <c r="X156" s="29">
        <f t="shared" si="102"/>
        <v>0</v>
      </c>
      <c r="Y156" s="30" t="s">
        <v>40</v>
      </c>
      <c r="Z156" s="31">
        <f>IF($AH$13&gt;0,0,BB156)</f>
        <v>0</v>
      </c>
      <c r="AB156" s="4"/>
      <c r="AC156" s="489"/>
      <c r="AD156" s="4"/>
      <c r="AE156" s="74"/>
      <c r="AF156" s="1423">
        <f>ROUNDDOWN(IF(((C156-E156)*H156/H157)&lt;0,0,((C156-E156)*H156/H157)),0)</f>
        <v>0</v>
      </c>
      <c r="AG156" s="4"/>
      <c r="AH156" s="4"/>
      <c r="AI156" s="174"/>
      <c r="AJ156" s="174"/>
      <c r="AK156" s="174"/>
      <c r="AL156" s="174"/>
      <c r="AM156" s="174"/>
      <c r="AN156" s="174"/>
      <c r="AO156" s="126" t="s">
        <v>35</v>
      </c>
      <c r="AP156" s="344">
        <f>ROUND((AP67-AP333)*AQ154,0)</f>
        <v>0</v>
      </c>
      <c r="AQ156" s="351" t="s">
        <v>40</v>
      </c>
      <c r="AR156" s="345">
        <f>ROUND((AR67-AR333)*AQ154,0)</f>
        <v>0</v>
      </c>
      <c r="AS156" s="371"/>
      <c r="AT156" s="126" t="s">
        <v>35</v>
      </c>
      <c r="AU156" s="344">
        <f>IF(AV154=0,0,IF(AV154&gt;=9,1,IF(AV154&lt;=-9,-1,0)))</f>
        <v>0</v>
      </c>
      <c r="AV156" s="351" t="s">
        <v>40</v>
      </c>
      <c r="AW156" s="345">
        <f>IF(AV154=0,0,IF(AV154&gt;=3,1,IF(AV154&lt;=-3,-1,0)))</f>
        <v>0</v>
      </c>
      <c r="AX156" s="318"/>
      <c r="AY156" s="262" t="s">
        <v>35</v>
      </c>
      <c r="AZ156" s="372">
        <f t="shared" si="103"/>
        <v>0</v>
      </c>
      <c r="BA156" s="319" t="s">
        <v>40</v>
      </c>
      <c r="BB156" s="127">
        <f>IF($AG$2&gt;0,"限度超過",IF($A$176=$L$176,"限度超過",AR156+AW156))</f>
        <v>0</v>
      </c>
      <c r="BC156" s="318"/>
      <c r="BD156" s="448" t="s">
        <v>35</v>
      </c>
      <c r="BE156" s="81">
        <f t="shared" si="104"/>
        <v>0</v>
      </c>
      <c r="BF156" s="82" t="s">
        <v>40</v>
      </c>
      <c r="BG156" s="29">
        <f>BG146</f>
        <v>0</v>
      </c>
      <c r="BH156" s="12"/>
      <c r="BI156" s="30" t="s">
        <v>35</v>
      </c>
      <c r="BJ156" s="29">
        <f t="shared" si="105"/>
        <v>0</v>
      </c>
      <c r="BK156" s="30" t="s">
        <v>40</v>
      </c>
      <c r="BL156" s="29">
        <f>IF($A$176=$L$176,"限度超過",IF(BG156=0,0,BG156/$S$94))</f>
        <v>0</v>
      </c>
      <c r="BM156" s="12"/>
      <c r="BN156" s="30" t="s">
        <v>35</v>
      </c>
      <c r="BO156" s="29">
        <f t="shared" si="106"/>
        <v>0</v>
      </c>
      <c r="BP156" s="30" t="s">
        <v>40</v>
      </c>
      <c r="BQ156" s="29">
        <f>IF($A$176=$L$176,"限度超過",IF($S$94&lt;=5,0,BL156))</f>
        <v>0</v>
      </c>
      <c r="BR156" s="446"/>
      <c r="BS156" s="12"/>
      <c r="BT156" s="12"/>
      <c r="BU156" s="12"/>
      <c r="BV156" s="12"/>
      <c r="BW156" s="12"/>
      <c r="BX156" s="32" t="s">
        <v>17</v>
      </c>
      <c r="BY156" s="44">
        <v>0</v>
      </c>
      <c r="BZ156" s="45">
        <f>$CF$97</f>
        <v>6440</v>
      </c>
      <c r="CA156" s="45">
        <f>$CG$97</f>
        <v>4600</v>
      </c>
      <c r="CB156" s="45">
        <f>$CH$97</f>
        <v>1840</v>
      </c>
      <c r="CC156" s="576"/>
      <c r="CD156" s="4"/>
      <c r="CE156" s="4"/>
      <c r="CF156" s="4"/>
      <c r="CG156" s="4"/>
      <c r="CH156" s="4"/>
      <c r="CI156" s="13"/>
    </row>
    <row r="157" spans="1:87" ht="18" customHeight="1">
      <c r="A157" s="1378"/>
      <c r="B157" s="1556"/>
      <c r="C157" s="1382"/>
      <c r="D157" s="1010"/>
      <c r="E157" s="1389"/>
      <c r="F157" s="1395"/>
      <c r="G157" s="1010"/>
      <c r="H157" s="39">
        <v>100</v>
      </c>
      <c r="I157" s="1385"/>
      <c r="J157" s="1010"/>
      <c r="K157" s="55">
        <v>12</v>
      </c>
      <c r="L157" s="12" t="s">
        <v>5</v>
      </c>
      <c r="M157" s="1395"/>
      <c r="N157" s="1527"/>
      <c r="O157" s="86"/>
      <c r="P157" s="1392"/>
      <c r="Q157" s="1392"/>
      <c r="R157" s="1391"/>
      <c r="S157" s="1520"/>
      <c r="T157" s="72" t="s">
        <v>29</v>
      </c>
      <c r="U157" s="105">
        <f>U155+U156</f>
        <v>0</v>
      </c>
      <c r="V157" s="88" t="s">
        <v>6</v>
      </c>
      <c r="W157" s="30" t="s">
        <v>36</v>
      </c>
      <c r="X157" s="29">
        <f t="shared" si="102"/>
        <v>0</v>
      </c>
      <c r="Y157" s="30" t="s">
        <v>41</v>
      </c>
      <c r="Z157" s="31">
        <f>IF($AH$13&gt;0,0,BB157)</f>
        <v>0</v>
      </c>
      <c r="AB157" s="4"/>
      <c r="AC157" s="489"/>
      <c r="AD157" s="4"/>
      <c r="AE157" s="74"/>
      <c r="AF157" s="1424"/>
      <c r="AG157" s="4"/>
      <c r="AH157" s="4"/>
      <c r="AI157" s="174"/>
      <c r="AJ157" s="174"/>
      <c r="AK157" s="174"/>
      <c r="AL157" s="174"/>
      <c r="AM157" s="174"/>
      <c r="AN157" s="174"/>
      <c r="AO157" s="126" t="s">
        <v>36</v>
      </c>
      <c r="AP157" s="344">
        <f>ROUND((AP68-AP334)*AQ154,0)</f>
        <v>0</v>
      </c>
      <c r="AQ157" s="351" t="s">
        <v>41</v>
      </c>
      <c r="AR157" s="345">
        <f>ROUND((AR68-AR334)*AQ154,0)</f>
        <v>0</v>
      </c>
      <c r="AS157" s="350"/>
      <c r="AT157" s="126" t="s">
        <v>36</v>
      </c>
      <c r="AU157" s="344">
        <f>IF(AV154=0,0,IF(AV154&gt;=8,1,IF(AV154&lt;=-8,-1,0)))</f>
        <v>0</v>
      </c>
      <c r="AV157" s="351" t="s">
        <v>41</v>
      </c>
      <c r="AW157" s="345">
        <f>IF(AV154=0,0,IF(AV154&gt;=2,1,IF(AV154&lt;=-2,-1,0)))</f>
        <v>0</v>
      </c>
      <c r="AX157" s="318"/>
      <c r="AY157" s="262" t="s">
        <v>36</v>
      </c>
      <c r="AZ157" s="372">
        <f t="shared" si="103"/>
        <v>0</v>
      </c>
      <c r="BA157" s="319" t="s">
        <v>41</v>
      </c>
      <c r="BB157" s="127">
        <f>IF($AG$2&gt;0,"限度超過",IF($A$176=$L$176,"限度超過",AR157+AW157))</f>
        <v>0</v>
      </c>
      <c r="BC157" s="318"/>
      <c r="BD157" s="448" t="s">
        <v>36</v>
      </c>
      <c r="BE157" s="81">
        <f t="shared" si="104"/>
        <v>0</v>
      </c>
      <c r="BF157" s="82" t="s">
        <v>41</v>
      </c>
      <c r="BG157" s="29">
        <f>BG147</f>
        <v>0</v>
      </c>
      <c r="BH157" s="12"/>
      <c r="BI157" s="30" t="s">
        <v>36</v>
      </c>
      <c r="BJ157" s="29">
        <f t="shared" si="105"/>
        <v>0</v>
      </c>
      <c r="BK157" s="30" t="s">
        <v>41</v>
      </c>
      <c r="BL157" s="29">
        <f>IF($A$176=$L$176,"限度超過",IF(BG157=0,0,BG157/$S$94))</f>
        <v>0</v>
      </c>
      <c r="BM157" s="12"/>
      <c r="BN157" s="30" t="s">
        <v>36</v>
      </c>
      <c r="BO157" s="29">
        <f t="shared" si="106"/>
        <v>0</v>
      </c>
      <c r="BP157" s="30" t="s">
        <v>41</v>
      </c>
      <c r="BQ157" s="29">
        <f>IF($A$176=$L$176,"限度超過",IF($S$94&lt;=5,0,BL157))</f>
        <v>0</v>
      </c>
      <c r="BR157" s="446"/>
      <c r="BS157" s="12"/>
      <c r="BT157" s="12"/>
      <c r="BU157" s="12"/>
      <c r="BV157" s="12"/>
      <c r="BW157" s="12"/>
      <c r="BX157" s="32" t="s">
        <v>8</v>
      </c>
      <c r="BY157" s="45">
        <f>K159</f>
        <v>0</v>
      </c>
      <c r="BZ157" s="45">
        <f t="shared" ref="BZ157:CB159" si="107">BY157</f>
        <v>0</v>
      </c>
      <c r="CA157" s="45">
        <f t="shared" si="107"/>
        <v>0</v>
      </c>
      <c r="CB157" s="45">
        <f t="shared" si="107"/>
        <v>0</v>
      </c>
      <c r="CC157" s="576">
        <f>CB157</f>
        <v>0</v>
      </c>
      <c r="CD157" s="4"/>
      <c r="CE157" s="4"/>
      <c r="CF157" s="4"/>
      <c r="CG157" s="4"/>
      <c r="CH157" s="4"/>
      <c r="CI157" s="13"/>
    </row>
    <row r="158" spans="1:87" ht="18" customHeight="1">
      <c r="A158" s="165"/>
      <c r="B158" s="12"/>
      <c r="C158" s="50"/>
      <c r="D158" s="12"/>
      <c r="E158" s="12"/>
      <c r="F158" s="12"/>
      <c r="G158" s="12"/>
      <c r="H158" s="91"/>
      <c r="I158" s="75"/>
      <c r="J158" s="75"/>
      <c r="K158" s="92"/>
      <c r="L158" s="75"/>
      <c r="M158" s="93"/>
      <c r="N158" s="578">
        <f>IF(入力画面!E37=1,"未就学児",0)</f>
        <v>0</v>
      </c>
      <c r="O158" s="42">
        <f>IF(H159=0,0,$D$94)</f>
        <v>0</v>
      </c>
      <c r="P158" s="463">
        <f>IF(O159=0,0,"軽減額")</f>
        <v>0</v>
      </c>
      <c r="Q158" s="12"/>
      <c r="R158" s="95"/>
      <c r="S158" s="49"/>
      <c r="T158" s="96" t="s">
        <v>31</v>
      </c>
      <c r="U158" s="105">
        <f>ROUNDDOWN(U157,-2)</f>
        <v>0</v>
      </c>
      <c r="V158" s="88" t="s">
        <v>6</v>
      </c>
      <c r="W158" s="30" t="s">
        <v>43</v>
      </c>
      <c r="X158" s="29">
        <f t="shared" si="102"/>
        <v>0</v>
      </c>
      <c r="Y158" s="30" t="s">
        <v>42</v>
      </c>
      <c r="Z158" s="31">
        <f>IF($AH$13&gt;0,0,BB158)</f>
        <v>0</v>
      </c>
      <c r="AB158" s="4"/>
      <c r="AC158" s="489"/>
      <c r="AD158" s="4"/>
      <c r="AE158" s="497" t="str">
        <f>IF($AH$13&gt;0,"－",IF($AG$2&gt;0,"限度超過",IF(U159=Z159,"OK","ｱﾝﾏｯﾁ")))</f>
        <v>OK</v>
      </c>
      <c r="AF158" s="496"/>
      <c r="AG158" s="4"/>
      <c r="AI158" s="174"/>
      <c r="AJ158" s="174"/>
      <c r="AK158" s="174"/>
      <c r="AL158" s="174"/>
      <c r="AM158" s="174"/>
      <c r="AN158" s="174"/>
      <c r="AO158" s="126" t="s">
        <v>43</v>
      </c>
      <c r="AP158" s="344">
        <f>ROUND((AP69-AP335)*AQ154,0)</f>
        <v>0</v>
      </c>
      <c r="AQ158" s="351" t="s">
        <v>42</v>
      </c>
      <c r="AR158" s="345">
        <f>ROUND((AR69-AR335)*AQ154,0)</f>
        <v>0</v>
      </c>
      <c r="AS158" s="350"/>
      <c r="AT158" s="126" t="s">
        <v>43</v>
      </c>
      <c r="AU158" s="344">
        <f>IF(AV154=0,0,IF(AV154&gt;=7,1,IF(AV154&lt;=-7,-1,0)))</f>
        <v>0</v>
      </c>
      <c r="AV158" s="351" t="s">
        <v>42</v>
      </c>
      <c r="AW158" s="345">
        <f>IF(AV154=0,0,IF(AV154&gt;=1,1,IF(AV154&lt;=-1,-1,0)))</f>
        <v>0</v>
      </c>
      <c r="AX158" s="318"/>
      <c r="AY158" s="262" t="s">
        <v>43</v>
      </c>
      <c r="AZ158" s="372">
        <f t="shared" si="103"/>
        <v>0</v>
      </c>
      <c r="BA158" s="319" t="s">
        <v>42</v>
      </c>
      <c r="BB158" s="127">
        <f>IF($AG$2&gt;0,"限度超過",IF($A$176=$L$176,"限度超過",AR158+AW158))</f>
        <v>0</v>
      </c>
      <c r="BC158" s="318"/>
      <c r="BD158" s="448" t="s">
        <v>43</v>
      </c>
      <c r="BE158" s="81">
        <f t="shared" si="104"/>
        <v>0</v>
      </c>
      <c r="BF158" s="82" t="s">
        <v>42</v>
      </c>
      <c r="BG158" s="29">
        <f>BG148</f>
        <v>0</v>
      </c>
      <c r="BH158" s="12"/>
      <c r="BI158" s="30" t="s">
        <v>43</v>
      </c>
      <c r="BJ158" s="29">
        <f t="shared" si="105"/>
        <v>0</v>
      </c>
      <c r="BK158" s="30" t="s">
        <v>42</v>
      </c>
      <c r="BL158" s="29">
        <f>IF($A$176=$L$176,"限度超過",IF(BG158=0,0,BG158/$S$94))</f>
        <v>0</v>
      </c>
      <c r="BM158" s="12"/>
      <c r="BN158" s="30" t="s">
        <v>43</v>
      </c>
      <c r="BO158" s="29">
        <f t="shared" si="106"/>
        <v>0</v>
      </c>
      <c r="BP158" s="30" t="s">
        <v>42</v>
      </c>
      <c r="BQ158" s="29">
        <f>IF($A$176=$L$176,"限度超過",IF($S$94&lt;=5,0,BL158))</f>
        <v>0</v>
      </c>
      <c r="BR158" s="446"/>
      <c r="BS158" s="12"/>
      <c r="BT158" s="12"/>
      <c r="BU158" s="12"/>
      <c r="BV158" s="12"/>
      <c r="BW158" s="12"/>
      <c r="BX158" s="32" t="s">
        <v>25</v>
      </c>
      <c r="BY158" s="45">
        <f>K160</f>
        <v>0</v>
      </c>
      <c r="BZ158" s="45">
        <f t="shared" si="107"/>
        <v>0</v>
      </c>
      <c r="CA158" s="45">
        <f t="shared" si="107"/>
        <v>0</v>
      </c>
      <c r="CB158" s="45">
        <f t="shared" si="107"/>
        <v>0</v>
      </c>
      <c r="CC158" s="576">
        <f>CB158</f>
        <v>0</v>
      </c>
      <c r="CD158" s="4"/>
      <c r="CE158" s="4"/>
      <c r="CF158" s="4"/>
      <c r="CG158" s="4"/>
      <c r="CH158" s="4"/>
      <c r="CI158" s="13"/>
    </row>
    <row r="159" spans="1:87" ht="18" customHeight="1">
      <c r="A159" s="1378" t="s">
        <v>10</v>
      </c>
      <c r="B159" s="12"/>
      <c r="C159" s="12"/>
      <c r="D159" s="1379" t="s">
        <v>7</v>
      </c>
      <c r="E159" s="1389">
        <f>IF(H159&gt;0,$CE$97,0)</f>
        <v>0</v>
      </c>
      <c r="F159" s="97"/>
      <c r="G159" s="1010" t="s">
        <v>59</v>
      </c>
      <c r="H159" s="1390">
        <f>IF(B154=0,0,SUBTOTAL(3,B154))</f>
        <v>0</v>
      </c>
      <c r="I159" s="1385" t="s">
        <v>22</v>
      </c>
      <c r="J159" s="1010" t="s">
        <v>59</v>
      </c>
      <c r="K159" s="51">
        <f>IF(H159&gt;0,K156,0)</f>
        <v>0</v>
      </c>
      <c r="L159" s="52" t="s">
        <v>5</v>
      </c>
      <c r="M159" s="1527" t="s">
        <v>122</v>
      </c>
      <c r="N159" s="1548">
        <f>IF(O159=0,0,"―")</f>
        <v>0</v>
      </c>
      <c r="O159" s="1525">
        <f>IF(H159=0,0,IF(BY161=0,IF($D$94=7,BZ160,IF($D$94=5,CA160,IF($D$94=2,CB160,CC160))),IF($D$94=7,BZ160+BZ161,IF($D$94=5,CA160+CA161,IF($D$94=2,CB160+CB161,CC160+CC161)))))</f>
        <v>0</v>
      </c>
      <c r="P159" s="1526"/>
      <c r="Q159" s="1392" t="s">
        <v>130</v>
      </c>
      <c r="R159" s="1391">
        <f>IF(H159&gt;0,IF(K156=0,0,ROUNDDOWN(((E159*H159)*K159/K160)-O159,0)),0)</f>
        <v>0</v>
      </c>
      <c r="S159" s="1520" t="s">
        <v>6</v>
      </c>
      <c r="T159" s="1321" t="s">
        <v>32</v>
      </c>
      <c r="U159" s="1586">
        <f>IF($L$176=$A$176,"限度超過!",U157)</f>
        <v>0</v>
      </c>
      <c r="V159" s="1509" t="s">
        <v>6</v>
      </c>
      <c r="W159" s="30" t="s">
        <v>37</v>
      </c>
      <c r="X159" s="29">
        <f t="shared" si="102"/>
        <v>0</v>
      </c>
      <c r="Y159" s="1313" t="s">
        <v>44</v>
      </c>
      <c r="Z159" s="1420">
        <f>IF($AH$13&gt;0,0,BB159)</f>
        <v>0</v>
      </c>
      <c r="AB159" s="4"/>
      <c r="AC159" s="489"/>
      <c r="AD159" s="4"/>
      <c r="AE159" s="497" t="str">
        <f>IF($AG$2&gt;0,"限度超過",IF(X155+X156+X157+X158+X159+X160+Z155+Z156+Z157+Z158=Z159,"OK","エラー"))</f>
        <v>OK</v>
      </c>
      <c r="AF159" s="1508">
        <f>IF(H159&gt;0,IF(K156=0,0,ROUNDDOWN((E159*H159)-O159,0)),0)</f>
        <v>0</v>
      </c>
      <c r="AG159" s="4"/>
      <c r="AI159" s="174"/>
      <c r="AJ159" s="174"/>
      <c r="AK159" s="174"/>
      <c r="AL159" s="174"/>
      <c r="AM159" s="174"/>
      <c r="AN159" s="174"/>
      <c r="AO159" s="126" t="s">
        <v>37</v>
      </c>
      <c r="AP159" s="344">
        <f>ROUND((AP70-AP336)*AQ154,0)</f>
        <v>0</v>
      </c>
      <c r="AQ159" s="352" t="s">
        <v>44</v>
      </c>
      <c r="AR159" s="346">
        <f>AP155+AP156+AP157+AP158+AP159+AP160+AR155+AR156+AR157+AR158</f>
        <v>0</v>
      </c>
      <c r="AS159" s="350"/>
      <c r="AT159" s="126" t="s">
        <v>37</v>
      </c>
      <c r="AU159" s="344">
        <f>IF(AV154=0,0,IF(AV154&gt;=6,1,IF(AV154&lt;=-6,-1,0)))</f>
        <v>0</v>
      </c>
      <c r="AV159" s="352" t="s">
        <v>44</v>
      </c>
      <c r="AW159" s="353">
        <f>AU155+AU156+AU157+AU158+AU159+AU160+AW155+AW156+AW157+AW158</f>
        <v>0</v>
      </c>
      <c r="AX159" s="318"/>
      <c r="AY159" s="262" t="s">
        <v>37</v>
      </c>
      <c r="AZ159" s="372">
        <f t="shared" si="103"/>
        <v>0</v>
      </c>
      <c r="BA159" s="320" t="s">
        <v>44</v>
      </c>
      <c r="BB159" s="417">
        <f>IF($AG$2&gt;0,"限度超過",AZ155+AZ156+AZ157+AZ158+AZ159+AZ160+BB155+BB156+BB157+BB158)</f>
        <v>0</v>
      </c>
      <c r="BC159" s="318"/>
      <c r="BD159" s="448" t="s">
        <v>37</v>
      </c>
      <c r="BE159" s="81">
        <f t="shared" si="104"/>
        <v>0</v>
      </c>
      <c r="BF159" s="440" t="s">
        <v>44</v>
      </c>
      <c r="BG159" s="29">
        <f>IF($A$176=$L$176,"限度超過",BE155+BE156+BE157+BE158+BE159+BE160+BG155+BG156+BG157+BG158)</f>
        <v>0</v>
      </c>
      <c r="BH159" s="12"/>
      <c r="BI159" s="30" t="s">
        <v>37</v>
      </c>
      <c r="BJ159" s="29">
        <f t="shared" si="105"/>
        <v>0</v>
      </c>
      <c r="BK159" s="98" t="s">
        <v>44</v>
      </c>
      <c r="BL159" s="29">
        <f>IF($A$176=$L$176,"限度超過",BJ155+BJ156+BJ157+BJ158+BJ159+BJ160+BL155+BL156+BL157+BL158)</f>
        <v>0</v>
      </c>
      <c r="BM159" s="12"/>
      <c r="BN159" s="30" t="s">
        <v>37</v>
      </c>
      <c r="BO159" s="29">
        <f t="shared" si="106"/>
        <v>0</v>
      </c>
      <c r="BP159" s="98" t="s">
        <v>44</v>
      </c>
      <c r="BQ159" s="29">
        <f>IF($A$176=$L$176,"限度超過",BO155+BO156+BO157+BO158+BO159+BO160+BQ155+BQ156+BQ157+BQ158)</f>
        <v>0</v>
      </c>
      <c r="BR159" s="446"/>
      <c r="BS159" s="12"/>
      <c r="BT159" s="12"/>
      <c r="BU159" s="12"/>
      <c r="BV159" s="12"/>
      <c r="BW159" s="12"/>
      <c r="BX159" s="32" t="s">
        <v>26</v>
      </c>
      <c r="BY159" s="26">
        <f>H159</f>
        <v>0</v>
      </c>
      <c r="BZ159" s="99">
        <f t="shared" si="107"/>
        <v>0</v>
      </c>
      <c r="CA159" s="99">
        <f t="shared" si="107"/>
        <v>0</v>
      </c>
      <c r="CB159" s="99">
        <f t="shared" si="107"/>
        <v>0</v>
      </c>
      <c r="CC159" s="576">
        <f>CB159</f>
        <v>0</v>
      </c>
      <c r="CD159" s="4"/>
      <c r="CE159" s="4"/>
      <c r="CF159" s="4"/>
      <c r="CG159" s="4"/>
      <c r="CH159" s="4"/>
      <c r="CI159" s="13"/>
    </row>
    <row r="160" spans="1:87" ht="18" customHeight="1">
      <c r="A160" s="1378"/>
      <c r="B160" s="12"/>
      <c r="C160" s="12"/>
      <c r="D160" s="1379"/>
      <c r="E160" s="1389"/>
      <c r="F160" s="12"/>
      <c r="G160" s="1010"/>
      <c r="H160" s="1390"/>
      <c r="I160" s="1385"/>
      <c r="J160" s="1010"/>
      <c r="K160" s="180">
        <f>IF(H159&gt;0,K157,0)</f>
        <v>0</v>
      </c>
      <c r="L160" s="12" t="s">
        <v>5</v>
      </c>
      <c r="M160" s="1527"/>
      <c r="N160" s="1548"/>
      <c r="O160" s="1526"/>
      <c r="P160" s="1526"/>
      <c r="Q160" s="1392"/>
      <c r="R160" s="1391"/>
      <c r="S160" s="1520"/>
      <c r="T160" s="1582"/>
      <c r="U160" s="1587"/>
      <c r="V160" s="1510"/>
      <c r="W160" s="30" t="s">
        <v>38</v>
      </c>
      <c r="X160" s="29">
        <f t="shared" si="102"/>
        <v>0</v>
      </c>
      <c r="Y160" s="1422"/>
      <c r="Z160" s="1421"/>
      <c r="AB160" s="4"/>
      <c r="AC160" s="489"/>
      <c r="AD160" s="4"/>
      <c r="AE160" s="74"/>
      <c r="AF160" s="1424"/>
      <c r="AG160" s="4"/>
      <c r="AH160" s="4"/>
      <c r="AI160" s="174"/>
      <c r="AJ160" s="174"/>
      <c r="AK160" s="174"/>
      <c r="AL160" s="174"/>
      <c r="AM160" s="174"/>
      <c r="AN160" s="174"/>
      <c r="AO160" s="126" t="s">
        <v>38</v>
      </c>
      <c r="AP160" s="344">
        <f>ROUND((AP71-AP337)*AQ154,0)</f>
        <v>0</v>
      </c>
      <c r="AQ160" s="351" t="s">
        <v>75</v>
      </c>
      <c r="AR160" s="330">
        <f>IF($AG$2&gt;0,"限度超過",U159)</f>
        <v>0</v>
      </c>
      <c r="AS160" s="347"/>
      <c r="AT160" s="126" t="s">
        <v>38</v>
      </c>
      <c r="AU160" s="344">
        <f>IF(AV154=0,0,IF(AV154&gt;=5,1,IF(AV154&lt;=-5,-1,0)))</f>
        <v>0</v>
      </c>
      <c r="AV160" s="351"/>
      <c r="AW160" s="354" t="str">
        <f>IF(AU155+AU156+AU157+AU158+AU159+AU160+AW155+AW156+AW157+AW158=AV154,"計算ＯＫ","エラー発生")</f>
        <v>計算ＯＫ</v>
      </c>
      <c r="AX160" s="318"/>
      <c r="AY160" s="262" t="s">
        <v>38</v>
      </c>
      <c r="AZ160" s="372">
        <f t="shared" si="103"/>
        <v>0</v>
      </c>
      <c r="BA160" s="319"/>
      <c r="BB160" s="418">
        <f>IF($AG$2&gt;0,"限度超過",IF($A$176=$L$176,"限度超過",$U$109))</f>
        <v>5500</v>
      </c>
      <c r="BC160" s="318"/>
      <c r="BD160" s="448" t="s">
        <v>38</v>
      </c>
      <c r="BE160" s="81">
        <f t="shared" si="104"/>
        <v>0</v>
      </c>
      <c r="BF160" s="82"/>
      <c r="BG160" s="100"/>
      <c r="BH160" s="12"/>
      <c r="BI160" s="30" t="s">
        <v>38</v>
      </c>
      <c r="BJ160" s="29">
        <f t="shared" si="105"/>
        <v>0</v>
      </c>
      <c r="BK160" s="30"/>
      <c r="BL160" s="100"/>
      <c r="BM160" s="12"/>
      <c r="BN160" s="30" t="s">
        <v>38</v>
      </c>
      <c r="BO160" s="29">
        <f t="shared" si="106"/>
        <v>0</v>
      </c>
      <c r="BP160" s="30"/>
      <c r="BQ160" s="100"/>
      <c r="BR160" s="446"/>
      <c r="BS160" s="12"/>
      <c r="BT160" s="12"/>
      <c r="BU160" s="12"/>
      <c r="BV160" s="12"/>
      <c r="BW160" s="12"/>
      <c r="BX160" s="67" t="s">
        <v>27</v>
      </c>
      <c r="BY160" s="45">
        <f>IF(BY159&gt;0,ROUNDDOWN(BY156*BY159*BY157/BY158,0),0)</f>
        <v>0</v>
      </c>
      <c r="BZ160" s="45">
        <f>IF(BZ159&gt;0,ROUNDDOWN(BZ156*BZ159*BZ157/BZ158,0),0)</f>
        <v>0</v>
      </c>
      <c r="CA160" s="45">
        <f>IF(CA159&gt;0,ROUNDDOWN(CA156*CA159*CA157/CA158,0),0)</f>
        <v>0</v>
      </c>
      <c r="CB160" s="45">
        <f>IF(CB159&gt;0,ROUNDDOWN(CB156*CB159*CB157/CB158,0),0)</f>
        <v>0</v>
      </c>
      <c r="CC160" s="576">
        <v>0</v>
      </c>
      <c r="CD160" s="4"/>
      <c r="CE160" s="4"/>
      <c r="CF160" s="4"/>
      <c r="CG160" s="4"/>
      <c r="CH160" s="4"/>
      <c r="CI160" s="13"/>
    </row>
    <row r="161" spans="1:87" ht="18" customHeight="1">
      <c r="A161" s="200"/>
      <c r="B161" s="75" t="s">
        <v>118</v>
      </c>
      <c r="C161" s="12"/>
      <c r="D161" s="160"/>
      <c r="E161" s="161"/>
      <c r="F161" s="12"/>
      <c r="G161" s="50"/>
      <c r="H161" s="162"/>
      <c r="I161" s="159"/>
      <c r="J161" s="50"/>
      <c r="K161" s="180"/>
      <c r="L161" s="12"/>
      <c r="M161" s="86"/>
      <c r="N161" s="86"/>
      <c r="O161" s="181"/>
      <c r="P161" s="181"/>
      <c r="Q161" s="156"/>
      <c r="R161" s="157"/>
      <c r="S161" s="49"/>
      <c r="T161" s="50"/>
      <c r="U161" s="182"/>
      <c r="V161" s="50"/>
      <c r="W161" s="4"/>
      <c r="X161" s="26"/>
      <c r="Y161" s="170"/>
      <c r="Z161" s="185"/>
      <c r="AA161" s="5"/>
      <c r="AB161" s="159"/>
      <c r="AC161" s="224"/>
      <c r="AD161" s="159"/>
      <c r="AE161" s="159"/>
      <c r="AF161" s="234"/>
      <c r="AG161" s="159"/>
      <c r="AH161" s="225"/>
      <c r="AI161" s="199"/>
      <c r="AJ161" s="199"/>
      <c r="AK161" s="199"/>
      <c r="AL161" s="199"/>
      <c r="AM161" s="199"/>
      <c r="AN161" s="174"/>
      <c r="AO161" s="348"/>
      <c r="AP161" s="348"/>
      <c r="AQ161" s="349"/>
      <c r="AR161" s="349"/>
      <c r="AS161" s="347"/>
      <c r="AT161" s="347"/>
      <c r="AU161" s="347"/>
      <c r="AV161" s="347"/>
      <c r="AW161" s="347"/>
      <c r="AX161" s="318"/>
      <c r="AY161" s="419"/>
      <c r="AZ161" s="348"/>
      <c r="BA161" s="349"/>
      <c r="BB161" s="464" t="str">
        <f>IF(BB159=BB160,"OK","エラー")</f>
        <v>エラー</v>
      </c>
      <c r="BC161" s="318"/>
      <c r="BD161" s="449"/>
      <c r="BF161" s="4" t="s">
        <v>257</v>
      </c>
      <c r="BH161" s="12"/>
      <c r="BM161" s="12"/>
      <c r="BR161" s="446"/>
      <c r="BS161" s="12"/>
      <c r="BT161" s="12"/>
      <c r="BU161" s="12"/>
      <c r="BV161" s="12"/>
      <c r="BW161" s="12"/>
      <c r="BX161" s="32" t="s">
        <v>340</v>
      </c>
      <c r="BY161" s="576">
        <f>IF(入力画面!E37=1,1,0)</f>
        <v>0</v>
      </c>
      <c r="BZ161" s="576">
        <f>IF($BY$161=1,ROUNDDOWN($CF$101*BZ157/BZ158,0),0)</f>
        <v>0</v>
      </c>
      <c r="CA161" s="576">
        <f>IF($BY$161=1,ROUNDDOWN($CG$101*CA157/CA158,0),0)</f>
        <v>0</v>
      </c>
      <c r="CB161" s="576">
        <f>IF($BY$161=1,ROUNDDOWN($CH$101*CB157/CB158,0),0)</f>
        <v>0</v>
      </c>
      <c r="CC161" s="576">
        <f>IF($BY$161=1,ROUNDDOWN($CE$101*CC157/CC158,0),0)</f>
        <v>0</v>
      </c>
      <c r="CD161" s="4"/>
      <c r="CE161" s="4"/>
      <c r="CF161" s="4"/>
      <c r="CG161" s="4"/>
      <c r="CH161" s="4"/>
      <c r="CI161" s="13"/>
    </row>
    <row r="162" spans="1:87" ht="18" customHeight="1">
      <c r="A162" s="58" t="s">
        <v>1</v>
      </c>
      <c r="B162" s="52"/>
      <c r="C162" s="187">
        <f>IF(H159&gt;0,$X$102,0)</f>
        <v>0</v>
      </c>
      <c r="D162" s="201" t="s">
        <v>6</v>
      </c>
      <c r="E162" s="60" t="s">
        <v>131</v>
      </c>
      <c r="F162" s="1377">
        <f>K156</f>
        <v>0</v>
      </c>
      <c r="G162" s="1377"/>
      <c r="H162" s="214" t="s">
        <v>5</v>
      </c>
      <c r="I162" s="1388" t="s">
        <v>14</v>
      </c>
      <c r="J162" s="1388"/>
      <c r="K162" s="1377">
        <f>C162*F162</f>
        <v>0</v>
      </c>
      <c r="L162" s="1377"/>
      <c r="M162" s="202" t="s">
        <v>6</v>
      </c>
      <c r="N162" s="202"/>
      <c r="O162" s="203"/>
      <c r="P162" s="203"/>
      <c r="Q162" s="63"/>
      <c r="R162" s="204"/>
      <c r="S162" s="59"/>
      <c r="T162" s="27"/>
      <c r="U162" s="205"/>
      <c r="V162" s="27"/>
      <c r="W162" s="186"/>
      <c r="X162" s="187"/>
      <c r="Y162" s="206"/>
      <c r="Z162" s="163"/>
      <c r="AB162" s="4"/>
      <c r="AC162" s="489"/>
      <c r="AD162" s="4"/>
      <c r="AE162" s="74"/>
      <c r="AF162" s="235"/>
      <c r="AG162" s="4"/>
      <c r="AH162" s="4"/>
      <c r="AI162" s="174"/>
      <c r="AJ162" s="174"/>
      <c r="AK162" s="174"/>
      <c r="AL162" s="174"/>
      <c r="AM162" s="174"/>
      <c r="AN162" s="174"/>
      <c r="AO162" s="1407" t="s">
        <v>233</v>
      </c>
      <c r="AP162" s="1407"/>
      <c r="AQ162" s="1407"/>
      <c r="AR162" s="1407"/>
      <c r="AS162" s="347"/>
      <c r="AT162" s="1406" t="s">
        <v>231</v>
      </c>
      <c r="AU162" s="1406"/>
      <c r="AV162" s="347"/>
      <c r="AW162" s="347"/>
      <c r="AX162" s="347"/>
      <c r="AY162" s="1405" t="s">
        <v>231</v>
      </c>
      <c r="AZ162" s="1406"/>
      <c r="BA162" s="347"/>
      <c r="BB162" s="422"/>
      <c r="BC162" s="347"/>
      <c r="BD162" s="1453" t="s">
        <v>231</v>
      </c>
      <c r="BE162" s="1430"/>
      <c r="BF162" s="4" t="s">
        <v>258</v>
      </c>
      <c r="BH162" s="12"/>
      <c r="BI162" s="1430" t="s">
        <v>231</v>
      </c>
      <c r="BJ162" s="1430"/>
      <c r="BM162" s="12"/>
      <c r="BN162" s="1430" t="s">
        <v>231</v>
      </c>
      <c r="BO162" s="1430"/>
      <c r="BR162" s="446"/>
      <c r="BS162" s="12"/>
      <c r="BT162" s="12"/>
      <c r="BU162" s="12"/>
      <c r="BV162" s="12"/>
      <c r="BW162" s="12"/>
      <c r="BX162" s="4"/>
      <c r="BY162" s="26"/>
      <c r="BZ162" s="26"/>
      <c r="CA162" s="26"/>
      <c r="CB162" s="26"/>
      <c r="CC162" s="4"/>
      <c r="CD162" s="4"/>
      <c r="CE162" s="4"/>
      <c r="CF162" s="4"/>
      <c r="CG162" s="4"/>
      <c r="CH162" s="4"/>
      <c r="CI162" s="13"/>
    </row>
    <row r="163" spans="1:87" ht="18" customHeight="1">
      <c r="D163" s="101"/>
      <c r="E163" s="70"/>
      <c r="G163" s="9"/>
      <c r="H163" s="102"/>
      <c r="I163" s="5"/>
      <c r="J163" s="9"/>
      <c r="K163" s="18"/>
      <c r="M163" s="103"/>
      <c r="P163" s="103"/>
      <c r="Q163" s="70"/>
      <c r="R163" s="104"/>
      <c r="S163" s="68"/>
      <c r="T163" s="68"/>
      <c r="U163" s="68"/>
      <c r="V163" s="18"/>
      <c r="AA163" s="16"/>
      <c r="AB163" s="16"/>
      <c r="AC163" s="490"/>
      <c r="AD163" s="16"/>
      <c r="AE163" s="225"/>
      <c r="AF163" s="231"/>
      <c r="AG163" s="16"/>
      <c r="AH163" s="16"/>
      <c r="AI163" s="172"/>
      <c r="AJ163" s="172"/>
      <c r="AK163" s="172"/>
      <c r="AL163" s="172"/>
      <c r="AM163" s="172"/>
      <c r="AN163" s="174"/>
      <c r="AO163" s="367" t="s">
        <v>217</v>
      </c>
      <c r="AP163" s="1401" t="s">
        <v>232</v>
      </c>
      <c r="AQ163" s="1401"/>
      <c r="AR163" s="1401"/>
      <c r="AS163" s="369"/>
      <c r="AT163" s="1413" t="s">
        <v>218</v>
      </c>
      <c r="AU163" s="1413"/>
      <c r="AV163" s="1413"/>
      <c r="AW163" s="1413"/>
      <c r="AX163" s="318"/>
      <c r="AY163" s="416" t="s">
        <v>224</v>
      </c>
      <c r="AZ163" s="1448" t="s">
        <v>223</v>
      </c>
      <c r="BA163" s="1448"/>
      <c r="BB163" s="1449"/>
      <c r="BC163" s="318"/>
      <c r="BD163" s="1426" t="s">
        <v>261</v>
      </c>
      <c r="BE163" s="1427"/>
      <c r="BF163" s="1427"/>
      <c r="BG163" s="1427"/>
      <c r="BH163" s="12"/>
      <c r="BI163" s="437" t="s">
        <v>262</v>
      </c>
      <c r="BJ163" s="1438" t="s">
        <v>260</v>
      </c>
      <c r="BK163" s="1438"/>
      <c r="BL163" s="1438"/>
      <c r="BM163" s="12"/>
      <c r="BN163" s="12"/>
      <c r="BO163" s="143" t="s">
        <v>263</v>
      </c>
      <c r="BP163" s="12" t="s">
        <v>88</v>
      </c>
      <c r="BQ163" s="12"/>
      <c r="BR163" s="446"/>
      <c r="BS163" s="12"/>
      <c r="BT163" s="12"/>
      <c r="BU163" s="12"/>
      <c r="BV163" s="12"/>
      <c r="BW163" s="12"/>
      <c r="BX163" s="4"/>
      <c r="BY163" s="4"/>
      <c r="BZ163" s="4"/>
      <c r="CA163" s="4"/>
      <c r="CB163" s="4"/>
      <c r="CC163" s="4"/>
      <c r="CD163" s="4"/>
      <c r="CE163" s="4"/>
      <c r="CF163" s="4"/>
      <c r="CG163" s="4"/>
      <c r="CH163" s="4"/>
      <c r="CI163" s="13"/>
    </row>
    <row r="164" spans="1:87" ht="18" customHeight="1">
      <c r="A164" s="194" t="s">
        <v>49</v>
      </c>
      <c r="B164" s="1396">
        <f>B75</f>
        <v>0</v>
      </c>
      <c r="C164" s="1396"/>
      <c r="D164" s="1396"/>
      <c r="E164" s="196" t="s">
        <v>11</v>
      </c>
      <c r="F164" s="1398" t="s">
        <v>57</v>
      </c>
      <c r="G164" s="1398"/>
      <c r="H164" s="1399"/>
      <c r="I164" s="1380">
        <f>IF(I75=1,1,0)</f>
        <v>0</v>
      </c>
      <c r="J164" s="1381"/>
      <c r="K164" s="1515">
        <f>IF(H169=0,0,IF($K$97=0, "加入月が未入力です!！",IF($L$176=$A$176,"限度超過額に達しているため計算不可能!!",IF(U166-U165=U167,"エラー名前を入力されているが加入月未入力!！",IF(H169&gt;K166,"加入月未入力エラー!！",0)))))</f>
        <v>0</v>
      </c>
      <c r="L164" s="1516"/>
      <c r="M164" s="1516"/>
      <c r="N164" s="1516"/>
      <c r="O164" s="1516"/>
      <c r="P164" s="1516"/>
      <c r="Q164" s="1516"/>
      <c r="R164" s="1516"/>
      <c r="S164" s="1517"/>
      <c r="T164" s="195" t="s">
        <v>47</v>
      </c>
      <c r="U164" s="1417">
        <f>IF(U169&gt;0,"支援分",0)</f>
        <v>0</v>
      </c>
      <c r="V164" s="1418"/>
      <c r="W164" s="1419" t="s">
        <v>46</v>
      </c>
      <c r="X164" s="1278"/>
      <c r="Y164" s="1278"/>
      <c r="Z164" s="1279"/>
      <c r="AA164" s="26"/>
      <c r="AB164" s="26"/>
      <c r="AC164" s="491"/>
      <c r="AD164" s="26"/>
      <c r="AE164" s="486"/>
      <c r="AF164" s="236" t="s">
        <v>117</v>
      </c>
      <c r="AG164" s="26"/>
      <c r="AH164" s="274">
        <f>IF(K166=0,0,IF(K166&lt;12,1,0))</f>
        <v>0</v>
      </c>
      <c r="AI164" s="173"/>
      <c r="AJ164" s="173"/>
      <c r="AK164" s="173"/>
      <c r="AL164" s="173"/>
      <c r="AM164" s="173"/>
      <c r="AN164" s="366" t="s">
        <v>150</v>
      </c>
      <c r="AO164" s="1319" t="s">
        <v>220</v>
      </c>
      <c r="AP164" s="1402"/>
      <c r="AQ164" s="1403">
        <f>IF(AR80=0,0,ROUNDDOWN(AR170/(AW81+AR170),8))</f>
        <v>0</v>
      </c>
      <c r="AR164" s="1404"/>
      <c r="AS164" s="370"/>
      <c r="AT164" s="1319" t="s">
        <v>213</v>
      </c>
      <c r="AU164" s="1402"/>
      <c r="AV164" s="1411">
        <f>IF($AG$2&gt;0,0,AR170-AR169)</f>
        <v>0</v>
      </c>
      <c r="AW164" s="1412"/>
      <c r="AX164" s="318"/>
      <c r="AY164" s="1408" t="s">
        <v>46</v>
      </c>
      <c r="AZ164" s="1402"/>
      <c r="BA164" s="1450">
        <f>IF(R166+R169=0,0,IF(K167&gt;K166,"期割がアンマッチ使用禁止↓",0))</f>
        <v>0</v>
      </c>
      <c r="BB164" s="1451"/>
      <c r="BC164" s="318"/>
      <c r="BD164" s="1435" t="s">
        <v>46</v>
      </c>
      <c r="BE164" s="1434"/>
      <c r="BF164" s="1436" t="s">
        <v>87</v>
      </c>
      <c r="BG164" s="1437"/>
      <c r="BH164" s="12"/>
      <c r="BI164" s="1253" t="s">
        <v>89</v>
      </c>
      <c r="BJ164" s="1434"/>
      <c r="BK164" s="438"/>
      <c r="BL164" s="439"/>
      <c r="BM164" s="12"/>
      <c r="BN164" s="1253" t="s">
        <v>46</v>
      </c>
      <c r="BO164" s="1434"/>
      <c r="BP164" s="1431"/>
      <c r="BQ164" s="1433"/>
      <c r="BR164" s="446"/>
      <c r="BS164" s="12"/>
      <c r="BT164" s="12"/>
      <c r="BU164" s="106" t="s">
        <v>56</v>
      </c>
      <c r="BV164" s="32" t="s">
        <v>8</v>
      </c>
      <c r="BW164" s="12"/>
      <c r="BX164" s="4"/>
      <c r="BY164" s="4"/>
      <c r="BZ164" s="4"/>
      <c r="CA164" s="4"/>
      <c r="CB164" s="4"/>
      <c r="CC164" s="4"/>
      <c r="CD164" s="4"/>
      <c r="CE164" s="4"/>
      <c r="CF164" s="4"/>
      <c r="CG164" s="4"/>
      <c r="CH164" s="4"/>
      <c r="CI164" s="13"/>
    </row>
    <row r="165" spans="1:87" ht="18" customHeight="1">
      <c r="A165" s="165"/>
      <c r="B165" s="12"/>
      <c r="C165" s="75" t="s">
        <v>33</v>
      </c>
      <c r="D165" s="12"/>
      <c r="E165" s="12"/>
      <c r="F165" s="1394" t="s">
        <v>433</v>
      </c>
      <c r="G165" s="1394"/>
      <c r="H165" s="1394"/>
      <c r="I165" s="1380">
        <f>IF(I76=1,1,0)</f>
        <v>0</v>
      </c>
      <c r="J165" s="1381"/>
      <c r="K165" s="76" t="s">
        <v>9</v>
      </c>
      <c r="L165" s="12"/>
      <c r="M165" s="1551"/>
      <c r="N165" s="1551"/>
      <c r="O165" s="1551"/>
      <c r="P165" s="1551"/>
      <c r="Q165" s="1551"/>
      <c r="R165" s="1551"/>
      <c r="S165" s="1552"/>
      <c r="T165" s="72" t="s">
        <v>30</v>
      </c>
      <c r="U165" s="105">
        <f>R166+R169</f>
        <v>0</v>
      </c>
      <c r="V165" s="88" t="s">
        <v>6</v>
      </c>
      <c r="W165" s="80" t="s">
        <v>34</v>
      </c>
      <c r="X165" s="29">
        <f t="shared" ref="X165:X170" si="108">IF($AH$13&gt;0,0,AZ165)</f>
        <v>0</v>
      </c>
      <c r="Y165" s="80" t="s">
        <v>39</v>
      </c>
      <c r="Z165" s="31">
        <f>IF($AH$13&gt;0,0,BB165)</f>
        <v>0</v>
      </c>
      <c r="AA165" s="26"/>
      <c r="AB165" s="26"/>
      <c r="AC165" s="491"/>
      <c r="AD165" s="26"/>
      <c r="AE165" s="486"/>
      <c r="AF165" s="217">
        <f>AF166+AF169+AF172</f>
        <v>0</v>
      </c>
      <c r="AG165" s="26"/>
      <c r="AH165" s="26"/>
      <c r="AI165" s="173"/>
      <c r="AJ165" s="173"/>
      <c r="AK165" s="173"/>
      <c r="AL165" s="173"/>
      <c r="AM165" s="173"/>
      <c r="AN165" s="174"/>
      <c r="AO165" s="126" t="s">
        <v>34</v>
      </c>
      <c r="AP165" s="344">
        <f>ROUND((AP76-AP342)*AQ164,0)</f>
        <v>0</v>
      </c>
      <c r="AQ165" s="351" t="s">
        <v>39</v>
      </c>
      <c r="AR165" s="345">
        <f>ROUND((AR76-AR342)*AQ164,0)</f>
        <v>0</v>
      </c>
      <c r="AS165" s="371"/>
      <c r="AT165" s="126" t="s">
        <v>34</v>
      </c>
      <c r="AU165" s="344">
        <f>IF(AV164=0,0,IF(AV164&gt;=10,1,IF(AV164&lt;=-10,-1,0)))</f>
        <v>0</v>
      </c>
      <c r="AV165" s="351" t="s">
        <v>39</v>
      </c>
      <c r="AW165" s="345">
        <f>IF(AV164=0,0,IF(AV164&gt;=4,1,IF(AV164&lt;=-4,-1,0)))</f>
        <v>0</v>
      </c>
      <c r="AX165" s="318"/>
      <c r="AY165" s="258" t="s">
        <v>34</v>
      </c>
      <c r="AZ165" s="372">
        <f t="shared" ref="AZ165:AZ170" si="109">IF($AG$2&gt;0,"限度超過",IF($A$176=$L$176,"限度超過",AP165+AU165))</f>
        <v>0</v>
      </c>
      <c r="BA165" s="319" t="s">
        <v>39</v>
      </c>
      <c r="BB165" s="127">
        <f>IF($AG$2&gt;0,"限度超過",IF($A$176=$L$176,"限度超過",AR165+AW165))</f>
        <v>0</v>
      </c>
      <c r="BC165" s="318"/>
      <c r="BD165" s="448" t="s">
        <v>34</v>
      </c>
      <c r="BE165" s="81">
        <f t="shared" ref="BE165:BE170" si="110">BE155</f>
        <v>0</v>
      </c>
      <c r="BF165" s="82" t="s">
        <v>39</v>
      </c>
      <c r="BG165" s="29">
        <f>BG155</f>
        <v>0</v>
      </c>
      <c r="BH165" s="12"/>
      <c r="BI165" s="80" t="s">
        <v>34</v>
      </c>
      <c r="BJ165" s="29">
        <f t="shared" ref="BJ165:BJ170" si="111">IF($A$176=$L$176,"限度超過",IF(BE165=0,0,BE165/$S$94))</f>
        <v>0</v>
      </c>
      <c r="BK165" s="80" t="s">
        <v>39</v>
      </c>
      <c r="BL165" s="29">
        <f>IF($A$176=$L$176,"限度超過",IF(BG165=0,0,BG165/$S$94))</f>
        <v>0</v>
      </c>
      <c r="BM165" s="12"/>
      <c r="BN165" s="30" t="s">
        <v>34</v>
      </c>
      <c r="BO165" s="29">
        <f t="shared" ref="BO165:BO170" si="112">IF($A$176=$L$176,"限度超過",IF($S$94&lt;=6,0,BJ165))</f>
        <v>0</v>
      </c>
      <c r="BP165" s="80" t="s">
        <v>39</v>
      </c>
      <c r="BQ165" s="29">
        <f>IF($A$176=$L$176,"限度超過",IF($S$94&lt;=6,0,BL165))</f>
        <v>0</v>
      </c>
      <c r="BR165" s="446"/>
      <c r="BS165" s="12"/>
      <c r="BT165" s="12"/>
      <c r="BU165" s="32" t="s">
        <v>132</v>
      </c>
      <c r="BV165" s="45">
        <f>入力画面!I13</f>
        <v>12</v>
      </c>
      <c r="BW165" s="12"/>
      <c r="BX165" s="32"/>
      <c r="BY165" s="33" t="str">
        <f>BY155</f>
        <v>料率</v>
      </c>
      <c r="BZ165" s="33">
        <f>BZ155</f>
        <v>7</v>
      </c>
      <c r="CA165" s="33">
        <f>CA155</f>
        <v>5</v>
      </c>
      <c r="CB165" s="33">
        <f>CB155</f>
        <v>2</v>
      </c>
      <c r="CC165" s="576" t="s">
        <v>341</v>
      </c>
      <c r="CD165" s="4"/>
      <c r="CE165" s="4"/>
      <c r="CF165" s="4"/>
      <c r="CG165" s="4"/>
      <c r="CH165" s="4"/>
      <c r="CI165" s="13"/>
    </row>
    <row r="166" spans="1:87" ht="18" customHeight="1">
      <c r="A166" s="1378" t="s">
        <v>0</v>
      </c>
      <c r="B166" s="1556" t="s">
        <v>129</v>
      </c>
      <c r="C166" s="1382">
        <f>C77</f>
        <v>0</v>
      </c>
      <c r="D166" s="1010" t="s">
        <v>58</v>
      </c>
      <c r="E166" s="1389">
        <f>IF(H169&gt;0,$CE$100, 0)</f>
        <v>0</v>
      </c>
      <c r="F166" s="1395" t="s">
        <v>22</v>
      </c>
      <c r="G166" s="1010" t="s">
        <v>59</v>
      </c>
      <c r="H166" s="85">
        <f>IF(H169&gt;0,$CE$96,0)</f>
        <v>0</v>
      </c>
      <c r="I166" s="1385" t="s">
        <v>22</v>
      </c>
      <c r="J166" s="1010" t="s">
        <v>59</v>
      </c>
      <c r="K166" s="51">
        <f>K77</f>
        <v>0</v>
      </c>
      <c r="L166" s="52" t="s">
        <v>5</v>
      </c>
      <c r="M166" s="1395"/>
      <c r="N166" s="1527"/>
      <c r="O166" s="86"/>
      <c r="P166" s="1392" t="s">
        <v>130</v>
      </c>
      <c r="Q166" s="1392"/>
      <c r="R166" s="1391">
        <f>ROUNDDOWN(IF(((C166-E166)*H166/H167)*K166/K167&lt;0,0,((C166-E166)*H166/H167)*K166/K167),0)</f>
        <v>0</v>
      </c>
      <c r="S166" s="1520" t="s">
        <v>6</v>
      </c>
      <c r="T166" s="72" t="s">
        <v>1</v>
      </c>
      <c r="U166" s="105">
        <f>IF(H169=0,0,K172)</f>
        <v>0</v>
      </c>
      <c r="V166" s="88" t="s">
        <v>6</v>
      </c>
      <c r="W166" s="30" t="s">
        <v>35</v>
      </c>
      <c r="X166" s="29">
        <f t="shared" si="108"/>
        <v>0</v>
      </c>
      <c r="Y166" s="30" t="s">
        <v>40</v>
      </c>
      <c r="Z166" s="31">
        <f>IF($AH$13&gt;0,0,BB166)</f>
        <v>0</v>
      </c>
      <c r="AA166" s="26"/>
      <c r="AB166" s="26"/>
      <c r="AC166" s="491"/>
      <c r="AD166" s="26"/>
      <c r="AE166" s="486"/>
      <c r="AF166" s="1423">
        <f>ROUNDDOWN(IF(((C166-E166)*H166/H167)&lt;0,0,((C166-E166)*H166/H167)),0)</f>
        <v>0</v>
      </c>
      <c r="AG166" s="26"/>
      <c r="AH166" s="26"/>
      <c r="AI166" s="173"/>
      <c r="AJ166" s="173"/>
      <c r="AK166" s="173"/>
      <c r="AL166" s="173"/>
      <c r="AM166" s="173"/>
      <c r="AN166" s="174"/>
      <c r="AO166" s="126" t="s">
        <v>35</v>
      </c>
      <c r="AP166" s="344">
        <f>ROUND((AP77-AP343)*AQ164,0)</f>
        <v>0</v>
      </c>
      <c r="AQ166" s="351" t="s">
        <v>40</v>
      </c>
      <c r="AR166" s="345">
        <f>ROUND((AR77-AR343)*AQ164,0)</f>
        <v>0</v>
      </c>
      <c r="AS166" s="371"/>
      <c r="AT166" s="126" t="s">
        <v>35</v>
      </c>
      <c r="AU166" s="344">
        <f>IF(AV164=0,0,IF(AV164&gt;=9,1,IF(AV164&lt;=-9,-1,0)))</f>
        <v>0</v>
      </c>
      <c r="AV166" s="351" t="s">
        <v>40</v>
      </c>
      <c r="AW166" s="345">
        <f>IF(AV164=0,0,IF(AV164&gt;=3,1,IF(AV164&lt;=-3,-1,0)))</f>
        <v>0</v>
      </c>
      <c r="AX166" s="318"/>
      <c r="AY166" s="262" t="s">
        <v>35</v>
      </c>
      <c r="AZ166" s="372">
        <f t="shared" si="109"/>
        <v>0</v>
      </c>
      <c r="BA166" s="319" t="s">
        <v>40</v>
      </c>
      <c r="BB166" s="127">
        <f>IF($AG$2&gt;0,"限度超過",IF($A$176=$L$176,"限度超過",AR166+AW166))</f>
        <v>0</v>
      </c>
      <c r="BC166" s="318"/>
      <c r="BD166" s="448" t="s">
        <v>35</v>
      </c>
      <c r="BE166" s="81">
        <f t="shared" si="110"/>
        <v>0</v>
      </c>
      <c r="BF166" s="82" t="s">
        <v>40</v>
      </c>
      <c r="BG166" s="29">
        <f>BG156</f>
        <v>0</v>
      </c>
      <c r="BH166" s="12"/>
      <c r="BI166" s="30" t="s">
        <v>35</v>
      </c>
      <c r="BJ166" s="29">
        <f t="shared" si="111"/>
        <v>0</v>
      </c>
      <c r="BK166" s="30" t="s">
        <v>40</v>
      </c>
      <c r="BL166" s="29">
        <f>IF($A$176=$L$176,"限度超過",IF(BG166=0,0,BG166/$S$94))</f>
        <v>0</v>
      </c>
      <c r="BM166" s="12"/>
      <c r="BN166" s="30" t="s">
        <v>35</v>
      </c>
      <c r="BO166" s="29">
        <f t="shared" si="112"/>
        <v>0</v>
      </c>
      <c r="BP166" s="30" t="s">
        <v>40</v>
      </c>
      <c r="BQ166" s="29">
        <f>IF($A$176=$L$176,"限度超過",IF($S$94&lt;=6,0,BL166))</f>
        <v>0</v>
      </c>
      <c r="BR166" s="446"/>
      <c r="BS166" s="12"/>
      <c r="BT166" s="12"/>
      <c r="BU166" s="32" t="s">
        <v>133</v>
      </c>
      <c r="BV166" s="45">
        <f>K116</f>
        <v>0</v>
      </c>
      <c r="BW166" s="12"/>
      <c r="BX166" s="32" t="s">
        <v>17</v>
      </c>
      <c r="BY166" s="44">
        <v>0</v>
      </c>
      <c r="BZ166" s="45">
        <f>$CF$97</f>
        <v>6440</v>
      </c>
      <c r="CA166" s="45">
        <f>$CG$97</f>
        <v>4600</v>
      </c>
      <c r="CB166" s="45">
        <f>$CH$97</f>
        <v>1840</v>
      </c>
      <c r="CC166" s="576"/>
      <c r="CD166" s="4"/>
      <c r="CE166" s="4"/>
      <c r="CF166" s="4"/>
      <c r="CG166" s="4"/>
      <c r="CH166" s="4"/>
      <c r="CI166" s="13"/>
    </row>
    <row r="167" spans="1:87" ht="18" customHeight="1">
      <c r="A167" s="1378"/>
      <c r="B167" s="1556"/>
      <c r="C167" s="1382"/>
      <c r="D167" s="1010"/>
      <c r="E167" s="1389"/>
      <c r="F167" s="1395"/>
      <c r="G167" s="1010"/>
      <c r="H167" s="39">
        <v>100</v>
      </c>
      <c r="I167" s="1385"/>
      <c r="J167" s="1010"/>
      <c r="K167" s="55">
        <v>12</v>
      </c>
      <c r="L167" s="12" t="s">
        <v>5</v>
      </c>
      <c r="M167" s="1395"/>
      <c r="N167" s="1527"/>
      <c r="O167" s="86"/>
      <c r="P167" s="1392"/>
      <c r="Q167" s="1392"/>
      <c r="R167" s="1391"/>
      <c r="S167" s="1520"/>
      <c r="T167" s="72" t="s">
        <v>29</v>
      </c>
      <c r="U167" s="105">
        <f>U165+U166</f>
        <v>0</v>
      </c>
      <c r="V167" s="88" t="s">
        <v>6</v>
      </c>
      <c r="W167" s="30" t="s">
        <v>36</v>
      </c>
      <c r="X167" s="29">
        <f t="shared" si="108"/>
        <v>0</v>
      </c>
      <c r="Y167" s="30" t="s">
        <v>41</v>
      </c>
      <c r="Z167" s="31">
        <f>IF($AH$13&gt;0,0,BB167)</f>
        <v>0</v>
      </c>
      <c r="AA167" s="26"/>
      <c r="AB167" s="26"/>
      <c r="AC167" s="491"/>
      <c r="AD167" s="26"/>
      <c r="AE167" s="486"/>
      <c r="AF167" s="1424"/>
      <c r="AG167" s="26"/>
      <c r="AH167" s="26"/>
      <c r="AI167" s="173"/>
      <c r="AJ167" s="173"/>
      <c r="AK167" s="173"/>
      <c r="AL167" s="173"/>
      <c r="AM167" s="173"/>
      <c r="AN167" s="174"/>
      <c r="AO167" s="126" t="s">
        <v>36</v>
      </c>
      <c r="AP167" s="344">
        <f>ROUND((AP78-AP344)*AQ164,0)</f>
        <v>0</v>
      </c>
      <c r="AQ167" s="351" t="s">
        <v>41</v>
      </c>
      <c r="AR167" s="345">
        <f>ROUND((AR78-AR344)*AQ164,0)</f>
        <v>0</v>
      </c>
      <c r="AS167" s="350"/>
      <c r="AT167" s="126" t="s">
        <v>36</v>
      </c>
      <c r="AU167" s="344">
        <f>IF(AV164=0,0,IF(AV164&gt;=8,1,IF(AV164&lt;=-8,-1,0)))</f>
        <v>0</v>
      </c>
      <c r="AV167" s="351" t="s">
        <v>41</v>
      </c>
      <c r="AW167" s="345">
        <f>IF(AV164=0,0,IF(AV164&gt;=2,1,IF(AV164&lt;=-2,-1,0)))</f>
        <v>0</v>
      </c>
      <c r="AX167" s="318"/>
      <c r="AY167" s="262" t="s">
        <v>36</v>
      </c>
      <c r="AZ167" s="372">
        <f t="shared" si="109"/>
        <v>0</v>
      </c>
      <c r="BA167" s="319" t="s">
        <v>41</v>
      </c>
      <c r="BB167" s="127">
        <f>IF($AG$2&gt;0,"限度超過",IF($A$176=$L$176,"限度超過",AR167+AW167))</f>
        <v>0</v>
      </c>
      <c r="BC167" s="318"/>
      <c r="BD167" s="448" t="s">
        <v>36</v>
      </c>
      <c r="BE167" s="81">
        <f t="shared" si="110"/>
        <v>0</v>
      </c>
      <c r="BF167" s="82" t="s">
        <v>41</v>
      </c>
      <c r="BG167" s="29">
        <f>BG157</f>
        <v>0</v>
      </c>
      <c r="BH167" s="12"/>
      <c r="BI167" s="30" t="s">
        <v>36</v>
      </c>
      <c r="BJ167" s="29">
        <f t="shared" si="111"/>
        <v>0</v>
      </c>
      <c r="BK167" s="30" t="s">
        <v>41</v>
      </c>
      <c r="BL167" s="29">
        <f>IF($A$176=$L$176,"限度超過",IF(BG167=0,0,BG167/$S$94))</f>
        <v>0</v>
      </c>
      <c r="BM167" s="12"/>
      <c r="BN167" s="30" t="s">
        <v>36</v>
      </c>
      <c r="BO167" s="29">
        <f t="shared" si="112"/>
        <v>0</v>
      </c>
      <c r="BP167" s="30" t="s">
        <v>41</v>
      </c>
      <c r="BQ167" s="29">
        <f>IF($A$176=$L$176,"限度超過",IF($S$94&lt;=6,0,BL167))</f>
        <v>0</v>
      </c>
      <c r="BR167" s="446"/>
      <c r="BS167" s="12"/>
      <c r="BT167" s="12"/>
      <c r="BU167" s="32" t="s">
        <v>134</v>
      </c>
      <c r="BV167" s="45">
        <f>K126</f>
        <v>0</v>
      </c>
      <c r="BW167" s="12"/>
      <c r="BX167" s="32" t="s">
        <v>8</v>
      </c>
      <c r="BY167" s="45">
        <f>K169</f>
        <v>0</v>
      </c>
      <c r="BZ167" s="45">
        <f t="shared" ref="BZ167:CB169" si="113">BY167</f>
        <v>0</v>
      </c>
      <c r="CA167" s="45">
        <f t="shared" si="113"/>
        <v>0</v>
      </c>
      <c r="CB167" s="45">
        <f t="shared" si="113"/>
        <v>0</v>
      </c>
      <c r="CC167" s="576">
        <f>CB167</f>
        <v>0</v>
      </c>
      <c r="CD167" s="4"/>
      <c r="CE167" s="4"/>
      <c r="CF167" s="4"/>
      <c r="CG167" s="4"/>
      <c r="CH167" s="4"/>
      <c r="CI167" s="13"/>
    </row>
    <row r="168" spans="1:87" ht="18" customHeight="1">
      <c r="A168" s="165"/>
      <c r="B168" s="12"/>
      <c r="C168" s="50"/>
      <c r="D168" s="12"/>
      <c r="E168" s="12"/>
      <c r="F168" s="12"/>
      <c r="G168" s="12"/>
      <c r="H168" s="91"/>
      <c r="I168" s="75"/>
      <c r="J168" s="75"/>
      <c r="K168" s="92"/>
      <c r="L168" s="75"/>
      <c r="M168" s="93"/>
      <c r="N168" s="578">
        <f>IF(入力画面!E42=1,"未就学児",0)</f>
        <v>0</v>
      </c>
      <c r="O168" s="42">
        <f>IF(H169=0,0,$D$94)</f>
        <v>0</v>
      </c>
      <c r="P168" s="463">
        <f>IF(O169=0,0,"軽減額")</f>
        <v>0</v>
      </c>
      <c r="Q168" s="12"/>
      <c r="R168" s="95"/>
      <c r="S168" s="49"/>
      <c r="T168" s="96" t="s">
        <v>31</v>
      </c>
      <c r="U168" s="105">
        <f>ROUNDDOWN(U167,-2)</f>
        <v>0</v>
      </c>
      <c r="V168" s="88" t="s">
        <v>6</v>
      </c>
      <c r="W168" s="30" t="s">
        <v>43</v>
      </c>
      <c r="X168" s="29">
        <f t="shared" si="108"/>
        <v>0</v>
      </c>
      <c r="Y168" s="30" t="s">
        <v>42</v>
      </c>
      <c r="Z168" s="31">
        <f>IF($AH$13&gt;0,0,BB168)</f>
        <v>0</v>
      </c>
      <c r="AA168" s="26"/>
      <c r="AB168" s="26"/>
      <c r="AC168" s="491"/>
      <c r="AD168" s="26"/>
      <c r="AE168" s="497" t="str">
        <f>IF($AH$13&gt;0,"－",IF($AG$2&gt;0,"限度超過",IF(U169=Z169,"OK","ｱﾝﾏｯﾁ")))</f>
        <v>OK</v>
      </c>
      <c r="AF168" s="496"/>
      <c r="AG168" s="26"/>
      <c r="AI168" s="173"/>
      <c r="AJ168" s="173"/>
      <c r="AK168" s="173"/>
      <c r="AL168" s="173"/>
      <c r="AM168" s="173"/>
      <c r="AN168" s="174"/>
      <c r="AO168" s="126" t="s">
        <v>43</v>
      </c>
      <c r="AP168" s="344">
        <f>ROUND((AP79-AP345)*AQ164,0)</f>
        <v>0</v>
      </c>
      <c r="AQ168" s="351" t="s">
        <v>42</v>
      </c>
      <c r="AR168" s="345">
        <f>ROUND((AR79-AR345)*AQ164,0)</f>
        <v>0</v>
      </c>
      <c r="AS168" s="350"/>
      <c r="AT168" s="126" t="s">
        <v>43</v>
      </c>
      <c r="AU168" s="344">
        <f>IF(AV164=0,0,IF(AV164&gt;=7,1,IF(AV164&lt;=-7,-1,0)))</f>
        <v>0</v>
      </c>
      <c r="AV168" s="351" t="s">
        <v>42</v>
      </c>
      <c r="AW168" s="345">
        <f>IF(AV164=0,0,IF(AV164&gt;=1,1,IF(AV164&lt;=-1,-1,0)))</f>
        <v>0</v>
      </c>
      <c r="AX168" s="318"/>
      <c r="AY168" s="262" t="s">
        <v>43</v>
      </c>
      <c r="AZ168" s="372">
        <f t="shared" si="109"/>
        <v>0</v>
      </c>
      <c r="BA168" s="319" t="s">
        <v>42</v>
      </c>
      <c r="BB168" s="127">
        <f>IF($AG$2&gt;0,"限度超過",IF($A$176=$L$176,"限度超過",AR168+AW168))</f>
        <v>0</v>
      </c>
      <c r="BC168" s="318"/>
      <c r="BD168" s="448" t="s">
        <v>43</v>
      </c>
      <c r="BE168" s="81">
        <f t="shared" si="110"/>
        <v>0</v>
      </c>
      <c r="BF168" s="82" t="s">
        <v>42</v>
      </c>
      <c r="BG168" s="29">
        <f>BG158</f>
        <v>0</v>
      </c>
      <c r="BH168" s="12"/>
      <c r="BI168" s="30" t="s">
        <v>43</v>
      </c>
      <c r="BJ168" s="29">
        <f t="shared" si="111"/>
        <v>0</v>
      </c>
      <c r="BK168" s="30" t="s">
        <v>42</v>
      </c>
      <c r="BL168" s="29">
        <f>IF($A$176=$L$176,"限度超過",IF(BG168=0,0,BG168/$S$94))</f>
        <v>0</v>
      </c>
      <c r="BM168" s="12"/>
      <c r="BN168" s="30" t="s">
        <v>43</v>
      </c>
      <c r="BO168" s="29">
        <f t="shared" si="112"/>
        <v>0</v>
      </c>
      <c r="BP168" s="30" t="s">
        <v>42</v>
      </c>
      <c r="BQ168" s="29">
        <f>IF($A$176=$L$176,"限度超過",IF($S$94&lt;=6,0,BL168))</f>
        <v>0</v>
      </c>
      <c r="BR168" s="446"/>
      <c r="BS168" s="12"/>
      <c r="BT168" s="12"/>
      <c r="BU168" s="32" t="s">
        <v>135</v>
      </c>
      <c r="BV168" s="45">
        <f>K136</f>
        <v>0</v>
      </c>
      <c r="BW168" s="12"/>
      <c r="BX168" s="32" t="s">
        <v>25</v>
      </c>
      <c r="BY168" s="45">
        <f>K170</f>
        <v>0</v>
      </c>
      <c r="BZ168" s="45">
        <f t="shared" si="113"/>
        <v>0</v>
      </c>
      <c r="CA168" s="45">
        <f t="shared" si="113"/>
        <v>0</v>
      </c>
      <c r="CB168" s="45">
        <f t="shared" si="113"/>
        <v>0</v>
      </c>
      <c r="CC168" s="576">
        <f>CB168</f>
        <v>0</v>
      </c>
      <c r="CD168" s="4"/>
      <c r="CE168" s="4"/>
      <c r="CF168" s="4"/>
      <c r="CG168" s="4"/>
      <c r="CH168" s="4"/>
      <c r="CI168" s="13"/>
    </row>
    <row r="169" spans="1:87" ht="18" customHeight="1">
      <c r="A169" s="1378" t="s">
        <v>10</v>
      </c>
      <c r="B169" s="12"/>
      <c r="C169" s="12"/>
      <c r="D169" s="1379" t="s">
        <v>7</v>
      </c>
      <c r="E169" s="1389">
        <f>IF(H169&gt;0,$CE$97,0)</f>
        <v>0</v>
      </c>
      <c r="F169" s="97"/>
      <c r="G169" s="1010" t="s">
        <v>59</v>
      </c>
      <c r="H169" s="1390">
        <f>IF(B164=0,0,SUBTOTAL(3,B164))</f>
        <v>0</v>
      </c>
      <c r="I169" s="1385" t="s">
        <v>22</v>
      </c>
      <c r="J169" s="1010" t="s">
        <v>59</v>
      </c>
      <c r="K169" s="51">
        <f>IF(H169&gt;0,K166,0)</f>
        <v>0</v>
      </c>
      <c r="L169" s="52" t="s">
        <v>5</v>
      </c>
      <c r="M169" s="1527" t="s">
        <v>122</v>
      </c>
      <c r="N169" s="1548">
        <f>IF(O169=0,0,"―")</f>
        <v>0</v>
      </c>
      <c r="O169" s="1525">
        <f>IF(H169=0,0,IF(BY171=0,IF($D$94=7,BZ170,IF($D$94=5,CA170,IF($D$94=2,CB170,CC170))),IF($D$94=7,BZ170+BZ171,IF($D$94=5,CA170+CA171,IF($D$94=2,CB170+CB171,CC170+CC171)))))</f>
        <v>0</v>
      </c>
      <c r="P169" s="1526"/>
      <c r="Q169" s="1392" t="s">
        <v>130</v>
      </c>
      <c r="R169" s="1391">
        <f>IF(H169&gt;0,IF(K166=0,0,ROUNDDOWN(((E169*H169)*K169/K170)-O169,0)),0)</f>
        <v>0</v>
      </c>
      <c r="S169" s="1520" t="s">
        <v>6</v>
      </c>
      <c r="T169" s="1321" t="s">
        <v>32</v>
      </c>
      <c r="U169" s="1586">
        <f>IF($L$176=$A$176,"限度超過!",U167)</f>
        <v>0</v>
      </c>
      <c r="V169" s="1509" t="s">
        <v>6</v>
      </c>
      <c r="W169" s="30" t="s">
        <v>37</v>
      </c>
      <c r="X169" s="29">
        <f t="shared" si="108"/>
        <v>0</v>
      </c>
      <c r="Y169" s="1313" t="s">
        <v>44</v>
      </c>
      <c r="Z169" s="1420">
        <f>IF($AH$13&gt;0,0,BB169)</f>
        <v>0</v>
      </c>
      <c r="AA169" s="4"/>
      <c r="AB169" s="4"/>
      <c r="AC169" s="489"/>
      <c r="AD169" s="4"/>
      <c r="AE169" s="497" t="str">
        <f>IF($AG$2&gt;0,"限度超過",IF(X165+X166+X167+X168+X169+X170+Z165+Z166+Z167+Z168=Z169,"OK","エラー"))</f>
        <v>OK</v>
      </c>
      <c r="AF169" s="1508">
        <f>IF(H169&gt;0,IF(K166=0,0,ROUNDDOWN((E169*H169)-O169,0)),0)</f>
        <v>0</v>
      </c>
      <c r="AG169" s="4"/>
      <c r="AI169" s="174"/>
      <c r="AJ169" s="174"/>
      <c r="AK169" s="174"/>
      <c r="AL169" s="174"/>
      <c r="AM169" s="174"/>
      <c r="AN169" s="174"/>
      <c r="AO169" s="126" t="s">
        <v>37</v>
      </c>
      <c r="AP169" s="344">
        <f>ROUND((AP80-AP346)*AQ164,0)</f>
        <v>0</v>
      </c>
      <c r="AQ169" s="352" t="s">
        <v>44</v>
      </c>
      <c r="AR169" s="346">
        <f>AP165+AP166+AP167+AP168+AP169+AP170+AR165+AR166+AR167+AR168</f>
        <v>0</v>
      </c>
      <c r="AS169" s="350"/>
      <c r="AT169" s="126" t="s">
        <v>37</v>
      </c>
      <c r="AU169" s="344">
        <f>IF(AV164=0,0,IF(AV164&gt;=6,1,IF(AV164&lt;=-6,-1,0)))</f>
        <v>0</v>
      </c>
      <c r="AV169" s="352" t="s">
        <v>44</v>
      </c>
      <c r="AW169" s="353">
        <f>AU165+AU166+AU167+AU168+AU169+AU170+AW165+AW166+AW167+AW168</f>
        <v>0</v>
      </c>
      <c r="AX169" s="318"/>
      <c r="AY169" s="262" t="s">
        <v>37</v>
      </c>
      <c r="AZ169" s="372">
        <f t="shared" si="109"/>
        <v>0</v>
      </c>
      <c r="BA169" s="320" t="s">
        <v>44</v>
      </c>
      <c r="BB169" s="417">
        <f>IF($AG$2&gt;0,"限度超過",AZ165+AZ166+AZ167+AZ168+AZ169+AZ170+BB165+BB166+BB167+BB168)</f>
        <v>0</v>
      </c>
      <c r="BC169" s="318"/>
      <c r="BD169" s="448" t="s">
        <v>37</v>
      </c>
      <c r="BE169" s="81">
        <f t="shared" si="110"/>
        <v>0</v>
      </c>
      <c r="BF169" s="440" t="s">
        <v>44</v>
      </c>
      <c r="BG169" s="29">
        <f>IF($A$176=$L$176,"限度超過",BE165+BE166+BE167+BE168+BE169+BE170+BG165+BG166+BG167+BG168)</f>
        <v>0</v>
      </c>
      <c r="BH169" s="12"/>
      <c r="BI169" s="30" t="s">
        <v>37</v>
      </c>
      <c r="BJ169" s="29">
        <f t="shared" si="111"/>
        <v>0</v>
      </c>
      <c r="BK169" s="98" t="s">
        <v>44</v>
      </c>
      <c r="BL169" s="29">
        <f>IF($A$176=$L$176,"限度超過",BJ165+BJ166+BJ167+BJ168+BJ169+BJ170+BL165+BL166+BL167+BL168)</f>
        <v>0</v>
      </c>
      <c r="BM169" s="12"/>
      <c r="BN169" s="30" t="s">
        <v>37</v>
      </c>
      <c r="BO169" s="29">
        <f t="shared" si="112"/>
        <v>0</v>
      </c>
      <c r="BP169" s="98" t="s">
        <v>44</v>
      </c>
      <c r="BQ169" s="29">
        <f>IF($A$176=$L$176,"限度超過",BO165+BO166+BO167+BO168+BO169+BO170+BQ165+BQ166+BQ167+BQ168)</f>
        <v>0</v>
      </c>
      <c r="BR169" s="446"/>
      <c r="BS169" s="12"/>
      <c r="BT169" s="12"/>
      <c r="BU169" s="32" t="s">
        <v>136</v>
      </c>
      <c r="BV169" s="45">
        <f>K146</f>
        <v>0</v>
      </c>
      <c r="BW169" s="12"/>
      <c r="BX169" s="32" t="s">
        <v>26</v>
      </c>
      <c r="BY169" s="26">
        <f>H169</f>
        <v>0</v>
      </c>
      <c r="BZ169" s="99">
        <f t="shared" si="113"/>
        <v>0</v>
      </c>
      <c r="CA169" s="99">
        <f t="shared" si="113"/>
        <v>0</v>
      </c>
      <c r="CB169" s="99">
        <f t="shared" si="113"/>
        <v>0</v>
      </c>
      <c r="CC169" s="576">
        <f>CB169</f>
        <v>0</v>
      </c>
      <c r="CD169" s="4"/>
      <c r="CE169" s="4"/>
      <c r="CF169" s="4"/>
      <c r="CG169" s="4"/>
      <c r="CH169" s="4"/>
      <c r="CI169" s="13"/>
    </row>
    <row r="170" spans="1:87" ht="18" customHeight="1">
      <c r="A170" s="1378"/>
      <c r="B170" s="12"/>
      <c r="C170" s="12"/>
      <c r="D170" s="1379"/>
      <c r="E170" s="1389"/>
      <c r="F170" s="12"/>
      <c r="G170" s="1010"/>
      <c r="H170" s="1390"/>
      <c r="I170" s="1385"/>
      <c r="J170" s="1010"/>
      <c r="K170" s="180">
        <f>IF(H169&gt;0,K167,0)</f>
        <v>0</v>
      </c>
      <c r="L170" s="12" t="s">
        <v>5</v>
      </c>
      <c r="M170" s="1527"/>
      <c r="N170" s="1548"/>
      <c r="O170" s="1526"/>
      <c r="P170" s="1526"/>
      <c r="Q170" s="1392"/>
      <c r="R170" s="1391"/>
      <c r="S170" s="1520"/>
      <c r="T170" s="1582"/>
      <c r="U170" s="1587"/>
      <c r="V170" s="1510"/>
      <c r="W170" s="30" t="s">
        <v>38</v>
      </c>
      <c r="X170" s="29">
        <f t="shared" si="108"/>
        <v>0</v>
      </c>
      <c r="Y170" s="1422"/>
      <c r="Z170" s="1421"/>
      <c r="AA170" s="71"/>
      <c r="AB170" s="71"/>
      <c r="AC170" s="222"/>
      <c r="AD170" s="71"/>
      <c r="AE170" s="71"/>
      <c r="AF170" s="1424"/>
      <c r="AG170" s="71"/>
      <c r="AH170" s="71"/>
      <c r="AI170" s="170"/>
      <c r="AJ170" s="170"/>
      <c r="AK170" s="170"/>
      <c r="AL170" s="170"/>
      <c r="AM170" s="170"/>
      <c r="AN170" s="174"/>
      <c r="AO170" s="126" t="s">
        <v>38</v>
      </c>
      <c r="AP170" s="344">
        <f>ROUND((AP81-AP347)*AQ164,0)</f>
        <v>0</v>
      </c>
      <c r="AQ170" s="351" t="s">
        <v>75</v>
      </c>
      <c r="AR170" s="330">
        <f>IF($AG$2&gt;0,"限度超過",U169)</f>
        <v>0</v>
      </c>
      <c r="AS170" s="347"/>
      <c r="AT170" s="126" t="s">
        <v>38</v>
      </c>
      <c r="AU170" s="344">
        <f>IF(AV164=0,0,IF(AV164&gt;=5,1,IF(AV164&lt;=-5,-1,0)))</f>
        <v>0</v>
      </c>
      <c r="AV170" s="351"/>
      <c r="AW170" s="354" t="str">
        <f>IF(AU165+AU166+AU167+AU168+AU169+AU170+AW165+AW166+AW167+AW168=AV164,"計算ＯＫ","エラー発生")</f>
        <v>計算ＯＫ</v>
      </c>
      <c r="AX170" s="318"/>
      <c r="AY170" s="262" t="s">
        <v>38</v>
      </c>
      <c r="AZ170" s="372">
        <f t="shared" si="109"/>
        <v>0</v>
      </c>
      <c r="BA170" s="319"/>
      <c r="BB170" s="418">
        <f>IF($AG$2&gt;0,"限度超過",IF($A$176=$L$176,"限度超過",$U$109))</f>
        <v>5500</v>
      </c>
      <c r="BC170" s="318"/>
      <c r="BD170" s="448" t="s">
        <v>38</v>
      </c>
      <c r="BE170" s="81">
        <f t="shared" si="110"/>
        <v>0</v>
      </c>
      <c r="BF170" s="82"/>
      <c r="BG170" s="100"/>
      <c r="BH170" s="12"/>
      <c r="BI170" s="30" t="s">
        <v>38</v>
      </c>
      <c r="BJ170" s="29">
        <f t="shared" si="111"/>
        <v>0</v>
      </c>
      <c r="BK170" s="30"/>
      <c r="BL170" s="100"/>
      <c r="BM170" s="12"/>
      <c r="BN170" s="30" t="s">
        <v>38</v>
      </c>
      <c r="BO170" s="29">
        <f t="shared" si="112"/>
        <v>0</v>
      </c>
      <c r="BP170" s="30"/>
      <c r="BQ170" s="100"/>
      <c r="BR170" s="446"/>
      <c r="BS170" s="12"/>
      <c r="BT170" s="12"/>
      <c r="BU170" s="32" t="s">
        <v>137</v>
      </c>
      <c r="BV170" s="45">
        <f>K156</f>
        <v>0</v>
      </c>
      <c r="BW170" s="12"/>
      <c r="BX170" s="67" t="s">
        <v>27</v>
      </c>
      <c r="BY170" s="45">
        <f>IF(BY169&gt;0,ROUNDDOWN(BY166*BY169*BY167/BY168,0),0)</f>
        <v>0</v>
      </c>
      <c r="BZ170" s="45">
        <f>IF(BZ169&gt;0,ROUNDDOWN(BZ166*BZ169*BZ167/BZ168,0),0)</f>
        <v>0</v>
      </c>
      <c r="CA170" s="45">
        <f>IF(CA169&gt;0,ROUNDDOWN(CA166*CA169*CA167/CA168,0),0)</f>
        <v>0</v>
      </c>
      <c r="CB170" s="45">
        <f>IF(CB169&gt;0,ROUNDDOWN(CB166*CB169*CB167/CB168,0),0)</f>
        <v>0</v>
      </c>
      <c r="CC170" s="576">
        <v>0</v>
      </c>
      <c r="CD170" s="4"/>
      <c r="CE170" s="4"/>
      <c r="CF170" s="4"/>
      <c r="CG170" s="4"/>
      <c r="CH170" s="4"/>
      <c r="CI170" s="13"/>
    </row>
    <row r="171" spans="1:87" ht="18" customHeight="1">
      <c r="A171" s="200"/>
      <c r="B171" s="75" t="s">
        <v>118</v>
      </c>
      <c r="C171" s="12"/>
      <c r="D171" s="160"/>
      <c r="E171" s="161"/>
      <c r="F171" s="12"/>
      <c r="G171" s="50"/>
      <c r="H171" s="162"/>
      <c r="I171" s="159"/>
      <c r="J171" s="50"/>
      <c r="K171" s="180"/>
      <c r="L171" s="12"/>
      <c r="M171" s="86"/>
      <c r="N171" s="86"/>
      <c r="O171" s="181"/>
      <c r="P171" s="181"/>
      <c r="Q171" s="156"/>
      <c r="R171" s="157"/>
      <c r="S171" s="49"/>
      <c r="T171" s="50"/>
      <c r="U171" s="182"/>
      <c r="V171" s="50"/>
      <c r="W171" s="4"/>
      <c r="X171" s="26"/>
      <c r="Y171" s="170"/>
      <c r="Z171" s="185"/>
      <c r="AA171" s="73"/>
      <c r="AB171" s="73"/>
      <c r="AC171" s="223"/>
      <c r="AD171" s="73"/>
      <c r="AE171" s="73"/>
      <c r="AF171" s="234"/>
      <c r="AG171" s="73"/>
      <c r="AH171" s="189"/>
      <c r="AI171" s="175"/>
      <c r="AJ171" s="175"/>
      <c r="AK171" s="175"/>
      <c r="AL171" s="175"/>
      <c r="AM171" s="175"/>
      <c r="AN171" s="175"/>
      <c r="AO171" s="348"/>
      <c r="AP171" s="348"/>
      <c r="AQ171" s="349"/>
      <c r="AR171" s="349"/>
      <c r="AS171" s="347"/>
      <c r="AT171" s="347"/>
      <c r="AU171" s="347"/>
      <c r="AV171" s="347"/>
      <c r="AW171" s="347"/>
      <c r="AX171" s="318"/>
      <c r="AY171" s="423"/>
      <c r="AZ171" s="424"/>
      <c r="BA171" s="425"/>
      <c r="BB171" s="465" t="str">
        <f>IF(BB169=BB170,"OK","エラー")</f>
        <v>エラー</v>
      </c>
      <c r="BC171" s="318"/>
      <c r="BD171" s="449"/>
      <c r="BH171" s="12"/>
      <c r="BM171" s="12"/>
      <c r="BR171" s="446"/>
      <c r="BS171" s="12"/>
      <c r="BT171" s="12"/>
      <c r="BU171" s="32" t="s">
        <v>138</v>
      </c>
      <c r="BV171" s="45">
        <f>K166</f>
        <v>0</v>
      </c>
      <c r="BW171" s="12"/>
      <c r="BX171" s="32" t="s">
        <v>340</v>
      </c>
      <c r="BY171" s="576">
        <f>IF(入力画面!E42=1,1,0)</f>
        <v>0</v>
      </c>
      <c r="BZ171" s="576">
        <f>IF($BY$171=1,ROUNDDOWN($CF$101*BZ167/BZ168,0),0)</f>
        <v>0</v>
      </c>
      <c r="CA171" s="576">
        <f>IF($BY$171=1,ROUNDDOWN($CG$101*CA167/CA168,0),0)</f>
        <v>0</v>
      </c>
      <c r="CB171" s="576">
        <f>IF($BY$171=1,ROUNDDOWN($CH$101*CB167/CB168,0),0)</f>
        <v>0</v>
      </c>
      <c r="CC171" s="576">
        <f>IF($BY$171=1,ROUNDDOWN($CE$101*CC167/CC168,0),0)</f>
        <v>0</v>
      </c>
      <c r="CD171" s="4"/>
      <c r="CE171" s="4"/>
      <c r="CF171" s="4"/>
      <c r="CG171" s="4"/>
      <c r="CH171" s="4"/>
      <c r="CI171" s="13"/>
    </row>
    <row r="172" spans="1:87" ht="18" customHeight="1" thickBot="1">
      <c r="A172" s="58" t="s">
        <v>1</v>
      </c>
      <c r="B172" s="52"/>
      <c r="C172" s="187">
        <f>IF(H169&gt;0,$X$102,0)</f>
        <v>0</v>
      </c>
      <c r="D172" s="201" t="s">
        <v>6</v>
      </c>
      <c r="E172" s="60" t="s">
        <v>131</v>
      </c>
      <c r="F172" s="1377">
        <f>K166</f>
        <v>0</v>
      </c>
      <c r="G172" s="1377"/>
      <c r="H172" s="214" t="s">
        <v>5</v>
      </c>
      <c r="I172" s="1388" t="s">
        <v>14</v>
      </c>
      <c r="J172" s="1388"/>
      <c r="K172" s="1377">
        <f>C172*F172</f>
        <v>0</v>
      </c>
      <c r="L172" s="1377"/>
      <c r="M172" s="202" t="s">
        <v>6</v>
      </c>
      <c r="N172" s="202"/>
      <c r="O172" s="203"/>
      <c r="P172" s="203"/>
      <c r="Q172" s="63"/>
      <c r="R172" s="204"/>
      <c r="S172" s="59"/>
      <c r="T172" s="27"/>
      <c r="U172" s="205"/>
      <c r="V172" s="27"/>
      <c r="W172" s="186"/>
      <c r="X172" s="187"/>
      <c r="Y172" s="206"/>
      <c r="Z172" s="163"/>
      <c r="AA172" s="26"/>
      <c r="AB172" s="26"/>
      <c r="AC172" s="491"/>
      <c r="AD172" s="26"/>
      <c r="AE172" s="486"/>
      <c r="AF172" s="235"/>
      <c r="AG172" s="26"/>
      <c r="AH172" s="26"/>
      <c r="AI172" s="173"/>
      <c r="AJ172" s="173"/>
      <c r="AK172" s="173"/>
      <c r="AL172" s="173"/>
      <c r="AM172" s="173"/>
      <c r="AN172" s="173"/>
      <c r="AO172" s="173"/>
      <c r="AP172" s="173"/>
      <c r="AQ172" s="173"/>
      <c r="AR172" s="173"/>
      <c r="AS172" s="173"/>
      <c r="AT172" s="173"/>
      <c r="AU172" s="173"/>
      <c r="AV172" s="173"/>
      <c r="AW172" s="173"/>
      <c r="AX172" s="12"/>
      <c r="BC172" s="12"/>
      <c r="BD172" s="451"/>
      <c r="BE172" s="452"/>
      <c r="BF172" s="452"/>
      <c r="BG172" s="452"/>
      <c r="BH172" s="453"/>
      <c r="BI172" s="452"/>
      <c r="BJ172" s="452"/>
      <c r="BK172" s="452"/>
      <c r="BL172" s="452"/>
      <c r="BM172" s="453"/>
      <c r="BN172" s="452"/>
      <c r="BO172" s="452"/>
      <c r="BP172" s="452"/>
      <c r="BQ172" s="452"/>
      <c r="BR172" s="454"/>
      <c r="BS172" s="12"/>
      <c r="BT172" s="12"/>
      <c r="BU172" s="168" t="s">
        <v>108</v>
      </c>
      <c r="BV172" s="211">
        <f>MAX(BV165:BV171)</f>
        <v>12</v>
      </c>
      <c r="BW172" s="12"/>
      <c r="BX172" s="4"/>
      <c r="BY172" s="4"/>
      <c r="BZ172" s="4"/>
      <c r="CA172" s="4"/>
      <c r="CB172" s="4"/>
      <c r="CC172" s="4"/>
      <c r="CD172" s="4"/>
      <c r="CE172" s="4"/>
      <c r="CF172" s="4"/>
      <c r="CG172" s="4"/>
      <c r="CH172" s="4"/>
      <c r="CI172" s="13"/>
    </row>
    <row r="173" spans="1:87" ht="7.5" customHeight="1" thickTop="1">
      <c r="A173" s="49"/>
      <c r="B173" s="12"/>
      <c r="C173" s="12"/>
      <c r="D173" s="160"/>
      <c r="E173" s="161"/>
      <c r="F173" s="12"/>
      <c r="G173" s="50"/>
      <c r="H173" s="162"/>
      <c r="I173" s="159"/>
      <c r="J173" s="50"/>
      <c r="K173" s="180"/>
      <c r="L173" s="12"/>
      <c r="M173" s="86"/>
      <c r="N173" s="86"/>
      <c r="O173" s="181"/>
      <c r="P173" s="181"/>
      <c r="Q173" s="156"/>
      <c r="R173" s="157"/>
      <c r="S173" s="49"/>
      <c r="T173" s="50"/>
      <c r="U173" s="188"/>
      <c r="V173" s="50"/>
      <c r="W173" s="4"/>
      <c r="X173" s="26"/>
      <c r="Y173" s="170"/>
      <c r="Z173" s="157"/>
      <c r="AA173" s="26"/>
      <c r="AB173" s="26"/>
      <c r="AC173" s="491"/>
      <c r="AD173" s="26"/>
      <c r="AE173" s="486"/>
      <c r="AF173" s="240"/>
      <c r="AG173" s="26"/>
      <c r="AH173" s="26"/>
      <c r="AI173" s="173"/>
      <c r="AJ173" s="173"/>
      <c r="AK173" s="173"/>
      <c r="AL173" s="173"/>
      <c r="AM173" s="173"/>
      <c r="AN173" s="173"/>
      <c r="AO173" s="173"/>
      <c r="AP173" s="173"/>
      <c r="AQ173" s="173"/>
      <c r="AR173" s="173"/>
      <c r="AS173" s="173"/>
      <c r="AT173" s="173"/>
      <c r="AU173" s="173"/>
      <c r="AV173" s="173"/>
      <c r="AW173" s="173"/>
      <c r="AX173" s="12"/>
      <c r="BC173" s="12"/>
      <c r="BH173" s="12"/>
      <c r="BM173" s="12"/>
      <c r="BR173" s="12"/>
      <c r="BS173" s="12"/>
      <c r="BT173" s="12"/>
      <c r="BU173" s="12"/>
      <c r="BV173" s="12"/>
      <c r="BW173" s="12"/>
      <c r="BX173" s="4"/>
      <c r="BY173" s="4"/>
      <c r="BZ173" s="4"/>
      <c r="CA173" s="4"/>
      <c r="CB173" s="4"/>
      <c r="CC173" s="4"/>
      <c r="CD173" s="4"/>
      <c r="CE173" s="4"/>
      <c r="CF173" s="4"/>
      <c r="CG173" s="4"/>
      <c r="CH173" s="4"/>
      <c r="CI173" s="13"/>
    </row>
    <row r="174" spans="1:87" ht="7.5" customHeight="1">
      <c r="D174" s="101"/>
      <c r="E174" s="70"/>
      <c r="G174" s="9"/>
      <c r="H174" s="102"/>
      <c r="I174" s="107"/>
      <c r="J174" s="9"/>
      <c r="K174" s="108"/>
      <c r="Q174" s="70"/>
      <c r="R174" s="69"/>
      <c r="S174" s="68"/>
      <c r="T174" s="68"/>
      <c r="U174" s="68"/>
      <c r="AA174" s="26"/>
      <c r="AB174" s="26"/>
      <c r="AC174" s="491"/>
      <c r="AD174" s="26"/>
      <c r="AE174" s="486"/>
      <c r="AF174" s="26"/>
      <c r="AG174" s="26"/>
      <c r="AH174" s="26"/>
      <c r="AI174" s="173"/>
      <c r="AJ174" s="173"/>
      <c r="AK174" s="173"/>
      <c r="AL174" s="173"/>
      <c r="AM174" s="173"/>
      <c r="AN174" s="173"/>
      <c r="AO174" s="173"/>
      <c r="AP174" s="173"/>
      <c r="AQ174" s="173"/>
      <c r="AR174" s="173"/>
      <c r="AS174" s="173"/>
      <c r="AT174" s="173"/>
      <c r="AU174" s="173"/>
      <c r="AV174" s="173"/>
      <c r="AW174" s="173"/>
      <c r="AX174" s="12"/>
      <c r="BC174" s="12"/>
      <c r="BH174" s="12"/>
      <c r="BM174" s="12"/>
      <c r="BR174" s="12"/>
      <c r="BS174" s="12"/>
      <c r="BT174" s="12"/>
      <c r="BU174" s="12"/>
      <c r="BV174" s="12"/>
      <c r="BW174" s="12"/>
      <c r="BX174" s="4"/>
      <c r="BY174" s="4"/>
      <c r="BZ174" s="4"/>
      <c r="CA174" s="4"/>
      <c r="CB174" s="4"/>
      <c r="CC174" s="4"/>
      <c r="CD174" s="4"/>
      <c r="CE174" s="4"/>
      <c r="CF174" s="4"/>
      <c r="CG174" s="4"/>
      <c r="CH174" s="4"/>
      <c r="CI174" s="13"/>
    </row>
    <row r="175" spans="1:87" ht="7.5" customHeight="1" thickBot="1">
      <c r="D175" s="101"/>
      <c r="E175" s="70"/>
      <c r="G175" s="9"/>
      <c r="H175" s="102"/>
      <c r="I175" s="107"/>
      <c r="J175" s="9"/>
      <c r="K175" s="108"/>
      <c r="Q175" s="70"/>
      <c r="R175" s="69"/>
      <c r="S175" s="68"/>
      <c r="T175" s="68"/>
      <c r="U175" s="68"/>
      <c r="AA175" s="26"/>
      <c r="AB175" s="26"/>
      <c r="AC175" s="491"/>
      <c r="AD175" s="26"/>
      <c r="AE175" s="486"/>
      <c r="AF175" s="26"/>
      <c r="AG175" s="26"/>
      <c r="AH175" s="26"/>
      <c r="AI175" s="173"/>
      <c r="AJ175" s="173"/>
      <c r="AK175" s="173"/>
      <c r="AL175" s="173"/>
      <c r="AM175" s="173"/>
      <c r="AN175" s="173"/>
      <c r="AO175" s="173"/>
      <c r="AP175" s="173"/>
      <c r="AQ175" s="173"/>
      <c r="AR175" s="173"/>
      <c r="AS175" s="173"/>
      <c r="AT175" s="173"/>
      <c r="AU175" s="173"/>
      <c r="AV175" s="173"/>
      <c r="AW175" s="173"/>
      <c r="AX175" s="12"/>
      <c r="BC175" s="12"/>
      <c r="BH175" s="12"/>
      <c r="BM175" s="12"/>
      <c r="BR175" s="12"/>
      <c r="BS175" s="12"/>
      <c r="BT175" s="12"/>
      <c r="BU175" s="12"/>
      <c r="BV175" s="12"/>
      <c r="BW175" s="12"/>
      <c r="BX175" s="4"/>
      <c r="BY175" s="4"/>
      <c r="BZ175" s="4"/>
      <c r="CA175" s="4"/>
      <c r="CB175" s="4"/>
      <c r="CC175" s="4"/>
      <c r="CD175" s="4"/>
      <c r="CE175" s="4"/>
      <c r="CF175" s="4"/>
      <c r="CG175" s="4"/>
      <c r="CH175" s="4"/>
      <c r="CI175" s="13"/>
    </row>
    <row r="176" spans="1:87" ht="31.5" customHeight="1" thickTop="1" thickBot="1">
      <c r="A176" s="1383">
        <f>CE99</f>
        <v>260000</v>
      </c>
      <c r="B176" s="1383"/>
      <c r="C176" s="1383"/>
      <c r="D176" s="1383"/>
      <c r="F176" s="109"/>
      <c r="G176" s="109"/>
      <c r="H176" s="1583" t="s">
        <v>161</v>
      </c>
      <c r="I176" s="1584"/>
      <c r="J176" s="1584"/>
      <c r="K176" s="1584"/>
      <c r="L176" s="1547">
        <f>IF(ROUNDDOWN(R106+R109+K112+R116+R119+K122+R126+R129+K132+R136+R139+K142+R146+R149+K152+R156+R159+K162+R166+R169+K172,-2)&gt;CG116,CG116,ROUNDDOWN(R106+R109+K112+R116+R119+K122+R126+R129+K132+R136+R139+K142+R146+R149+K152+R156+R159+K162+R166+R169+K172,-2))</f>
        <v>5500</v>
      </c>
      <c r="M176" s="1547"/>
      <c r="N176" s="1547"/>
      <c r="O176" s="1547"/>
      <c r="P176" s="1547"/>
      <c r="Q176" s="1547"/>
      <c r="R176" s="1547"/>
      <c r="S176" s="110" t="s">
        <v>6</v>
      </c>
      <c r="T176" s="49"/>
      <c r="U176" s="111"/>
      <c r="AA176" s="26"/>
      <c r="AB176" s="26"/>
      <c r="AC176" s="491"/>
      <c r="AD176" s="26"/>
      <c r="AE176" s="486"/>
      <c r="AF176" s="26"/>
      <c r="AG176" s="26"/>
      <c r="AH176" s="26"/>
      <c r="AI176" s="173"/>
      <c r="AJ176" s="173"/>
      <c r="AK176" s="173"/>
      <c r="AL176" s="173"/>
      <c r="AM176" s="173"/>
      <c r="AN176" s="173"/>
      <c r="AO176" s="173"/>
      <c r="AP176" s="173"/>
      <c r="AQ176" s="173"/>
      <c r="AR176" s="173"/>
      <c r="AS176" s="173"/>
      <c r="AT176" s="173"/>
      <c r="AU176" s="173"/>
      <c r="AV176" s="173"/>
      <c r="AW176" s="173"/>
      <c r="AX176" s="12"/>
      <c r="AY176" s="12"/>
      <c r="AZ176" s="1385"/>
      <c r="BA176" s="1385"/>
      <c r="BB176" s="1385"/>
      <c r="BC176" s="12"/>
      <c r="BD176" s="12"/>
      <c r="BE176" s="1385"/>
      <c r="BF176" s="1385"/>
      <c r="BG176" s="1385"/>
      <c r="BH176" s="12"/>
      <c r="BI176" s="12"/>
      <c r="BJ176" s="1385"/>
      <c r="BK176" s="1385"/>
      <c r="BL176" s="1385"/>
      <c r="BM176" s="12"/>
      <c r="BN176" s="12"/>
      <c r="BO176" s="1385"/>
      <c r="BP176" s="1385"/>
      <c r="BQ176" s="1385"/>
      <c r="BR176" s="12"/>
      <c r="BS176" s="12"/>
      <c r="BT176" s="12"/>
      <c r="BU176" s="12"/>
      <c r="BV176" s="12"/>
      <c r="BW176" s="12"/>
      <c r="BX176" s="4"/>
      <c r="BY176" s="4"/>
      <c r="BZ176" s="4"/>
      <c r="CA176" s="4"/>
      <c r="CB176" s="4"/>
      <c r="CC176" s="4"/>
      <c r="CD176" s="4"/>
      <c r="CE176" s="4"/>
      <c r="CF176" s="4"/>
      <c r="CG176" s="4"/>
      <c r="CH176" s="4"/>
      <c r="CI176" s="13"/>
    </row>
    <row r="177" spans="1:87" ht="16.5" customHeight="1" thickTop="1" thickBot="1">
      <c r="K177" s="1598"/>
      <c r="L177" s="1598"/>
      <c r="M177" s="1598"/>
      <c r="N177" s="1598"/>
      <c r="O177" s="1598"/>
      <c r="P177" s="1598"/>
      <c r="Q177" s="1598"/>
      <c r="R177" s="112" t="s">
        <v>13</v>
      </c>
      <c r="AA177" s="4"/>
      <c r="AB177" s="4"/>
      <c r="AC177" s="492"/>
      <c r="AD177" s="121"/>
      <c r="AE177" s="488"/>
      <c r="AF177" s="121"/>
      <c r="AG177" s="121"/>
      <c r="AH177" s="121"/>
      <c r="AI177" s="226"/>
      <c r="AJ177" s="226"/>
      <c r="AK177" s="226"/>
      <c r="AL177" s="226"/>
      <c r="AM177" s="226"/>
      <c r="AN177" s="226"/>
      <c r="AO177" s="226"/>
      <c r="AP177" s="226"/>
      <c r="AQ177" s="226"/>
      <c r="AR177" s="226"/>
      <c r="AS177" s="226"/>
      <c r="AT177" s="226"/>
      <c r="AU177" s="226"/>
      <c r="AV177" s="226"/>
      <c r="AW177" s="226"/>
      <c r="AX177" s="122"/>
      <c r="AY177" s="121"/>
      <c r="AZ177" s="121"/>
      <c r="BA177" s="193"/>
      <c r="BB177" s="193"/>
      <c r="BC177" s="122"/>
      <c r="BD177" s="121"/>
      <c r="BE177" s="121"/>
      <c r="BF177" s="121"/>
      <c r="BG177" s="121"/>
      <c r="BH177" s="122"/>
      <c r="BI177" s="121"/>
      <c r="BJ177" s="121"/>
      <c r="BK177" s="121"/>
      <c r="BL177" s="121"/>
      <c r="BM177" s="122"/>
      <c r="BN177" s="121"/>
      <c r="BO177" s="121"/>
      <c r="BP177" s="121"/>
      <c r="BQ177" s="121"/>
      <c r="BR177" s="122"/>
      <c r="BS177" s="122"/>
      <c r="BT177" s="122"/>
      <c r="BU177" s="122"/>
      <c r="BV177" s="122"/>
      <c r="BW177" s="122"/>
      <c r="BX177" s="121"/>
      <c r="BY177" s="121"/>
      <c r="BZ177" s="121"/>
      <c r="CA177" s="121"/>
      <c r="CB177" s="121"/>
      <c r="CC177" s="121"/>
      <c r="CD177" s="121"/>
      <c r="CE177" s="121"/>
      <c r="CF177" s="121"/>
      <c r="CG177" s="121"/>
      <c r="CH177" s="121"/>
      <c r="CI177" s="123"/>
    </row>
    <row r="178" spans="1:87" ht="30.75" customHeight="1">
      <c r="A178" s="1562">
        <f>A89</f>
        <v>0</v>
      </c>
      <c r="B178" s="1562"/>
      <c r="C178" s="1562"/>
      <c r="D178" s="1562"/>
      <c r="E178" s="1562"/>
      <c r="F178" s="1562"/>
      <c r="G178" s="1562"/>
      <c r="H178" s="1562"/>
      <c r="I178" s="1562"/>
      <c r="J178" s="1562"/>
      <c r="K178" s="1562"/>
      <c r="L178" s="1562"/>
      <c r="M178" s="1562"/>
      <c r="N178" s="1562"/>
      <c r="O178" s="1562"/>
      <c r="P178" s="1562"/>
      <c r="Q178" s="1562"/>
      <c r="R178" s="1562"/>
      <c r="S178" s="1562"/>
      <c r="T178" s="1562"/>
      <c r="U178" s="1562"/>
      <c r="V178" s="1562"/>
      <c r="W178" s="1562"/>
      <c r="X178" s="1565" t="s">
        <v>15</v>
      </c>
      <c r="Y178" s="1565"/>
      <c r="Z178" s="1565"/>
      <c r="AA178" s="643"/>
      <c r="AB178" s="633"/>
      <c r="AC178" s="224"/>
      <c r="AD178" s="633"/>
      <c r="AE178" s="633"/>
      <c r="AF178" s="633"/>
      <c r="AG178" s="633"/>
      <c r="AH178" s="225"/>
      <c r="AI178" s="199"/>
      <c r="AJ178" s="199"/>
      <c r="AK178" s="199"/>
      <c r="AL178" s="199"/>
      <c r="AM178" s="199"/>
      <c r="AN178" s="199"/>
      <c r="AO178" s="199"/>
      <c r="AP178" s="199"/>
      <c r="AQ178" s="199"/>
      <c r="AR178" s="199"/>
      <c r="AS178" s="199"/>
      <c r="AT178" s="199"/>
      <c r="AU178" s="199"/>
      <c r="AV178" s="199"/>
      <c r="AW178" s="199"/>
      <c r="AX178" s="12"/>
      <c r="AY178" s="265"/>
      <c r="AZ178" s="265"/>
      <c r="BA178" s="265"/>
      <c r="BB178" s="265"/>
      <c r="BC178" s="12"/>
      <c r="BD178" s="265"/>
      <c r="BE178" s="265"/>
      <c r="BF178" s="265"/>
      <c r="BG178" s="265"/>
      <c r="BH178" s="12"/>
      <c r="BI178" s="265"/>
      <c r="BJ178" s="265"/>
      <c r="BK178" s="265"/>
      <c r="BL178" s="265"/>
      <c r="BM178" s="12"/>
      <c r="BN178" s="265"/>
      <c r="BO178" s="265"/>
      <c r="BP178" s="265"/>
      <c r="BQ178" s="265"/>
      <c r="BR178" s="648"/>
      <c r="BS178" s="648"/>
      <c r="BT178" s="648"/>
      <c r="BU178" s="648"/>
      <c r="BV178" s="648"/>
      <c r="BW178" s="6"/>
      <c r="BX178" s="7"/>
      <c r="BY178" s="7"/>
      <c r="BZ178" s="7"/>
      <c r="CA178" s="7"/>
      <c r="CB178" s="7"/>
      <c r="CC178" s="7"/>
      <c r="CD178" s="7"/>
      <c r="CE178" s="7"/>
      <c r="CF178" s="7"/>
      <c r="CG178" s="7"/>
      <c r="CH178" s="7"/>
      <c r="CI178" s="8"/>
    </row>
    <row r="179" spans="1:87" ht="31.5" customHeight="1">
      <c r="A179" s="1397" t="s">
        <v>48</v>
      </c>
      <c r="B179" s="1397"/>
      <c r="C179" s="1397"/>
      <c r="D179" s="1393">
        <f>D90</f>
        <v>0</v>
      </c>
      <c r="E179" s="1393"/>
      <c r="F179" s="1393"/>
      <c r="G179" s="3" t="s">
        <v>22</v>
      </c>
      <c r="U179" s="11"/>
      <c r="V179" s="11"/>
      <c r="AB179" s="4"/>
      <c r="AC179" s="489"/>
      <c r="AD179" s="4"/>
      <c r="AE179" s="74"/>
      <c r="AF179" s="4"/>
      <c r="AG179" s="267"/>
      <c r="AH179" s="4"/>
      <c r="AI179" s="174"/>
      <c r="AJ179" s="174"/>
      <c r="AK179" s="174"/>
      <c r="AL179" s="174"/>
      <c r="AM179" s="174"/>
      <c r="AN179" s="174"/>
      <c r="AO179" s="174"/>
      <c r="AP179" s="174"/>
      <c r="AQ179" s="174"/>
      <c r="AR179" s="174"/>
      <c r="AS179" s="174"/>
      <c r="AT179" s="174"/>
      <c r="AU179" s="174"/>
      <c r="AV179" s="174"/>
      <c r="AW179" s="174"/>
      <c r="AX179" s="649"/>
      <c r="AY179" s="649"/>
      <c r="AZ179" s="649"/>
      <c r="BA179" s="649"/>
      <c r="BB179" s="649"/>
      <c r="BC179" s="649"/>
      <c r="BD179" s="649"/>
      <c r="BE179" s="649"/>
      <c r="BF179" s="649"/>
      <c r="BG179" s="649"/>
      <c r="BH179" s="649"/>
      <c r="BI179" s="649"/>
      <c r="BJ179" s="649"/>
      <c r="BK179" s="649"/>
      <c r="BL179" s="649"/>
      <c r="BM179" s="649"/>
      <c r="BN179" s="649"/>
      <c r="BO179" s="649"/>
      <c r="BP179" s="649"/>
      <c r="BQ179" s="649"/>
      <c r="BR179" s="649"/>
      <c r="BS179" s="649"/>
      <c r="BT179" s="649"/>
      <c r="BU179" s="649"/>
      <c r="BV179" s="649"/>
      <c r="BW179" s="12"/>
      <c r="BX179" s="4"/>
      <c r="BY179" s="4"/>
      <c r="BZ179" s="4"/>
      <c r="CA179" s="4"/>
      <c r="CB179" s="4"/>
      <c r="CC179" s="4"/>
      <c r="CD179" s="4"/>
      <c r="CE179" s="4"/>
      <c r="CF179" s="4"/>
      <c r="CG179" s="4"/>
      <c r="CH179" s="4"/>
      <c r="CI179" s="13"/>
    </row>
    <row r="180" spans="1:87" ht="16.5" customHeight="1">
      <c r="A180" s="1597" t="s">
        <v>397</v>
      </c>
      <c r="B180" s="1597"/>
      <c r="C180" s="1597"/>
      <c r="D180" s="14"/>
      <c r="E180" s="14"/>
      <c r="F180" s="14"/>
      <c r="G180" s="14"/>
      <c r="H180" s="14"/>
      <c r="I180" s="14"/>
      <c r="J180" s="14"/>
      <c r="K180" s="14"/>
      <c r="L180" s="14"/>
      <c r="M180" s="14"/>
      <c r="N180" s="14"/>
      <c r="O180" s="14"/>
      <c r="P180" s="14"/>
      <c r="Q180" s="14"/>
      <c r="R180" s="14"/>
      <c r="S180" s="14"/>
      <c r="T180" s="14"/>
      <c r="U180" s="14"/>
      <c r="V180" s="15"/>
      <c r="W180" s="1538" t="s">
        <v>435</v>
      </c>
      <c r="X180" s="1539"/>
      <c r="Y180" s="1539"/>
      <c r="Z180" s="1540"/>
      <c r="AA180" s="650"/>
      <c r="AB180" s="650"/>
      <c r="AC180" s="490"/>
      <c r="AD180" s="650"/>
      <c r="AE180" s="225"/>
      <c r="AF180" s="650"/>
      <c r="AG180" s="650"/>
      <c r="AH180" s="650"/>
      <c r="AI180" s="172"/>
      <c r="AJ180" s="172"/>
      <c r="AK180" s="172"/>
      <c r="AL180" s="172"/>
      <c r="AM180" s="172"/>
      <c r="AN180" s="172"/>
      <c r="AO180" s="172"/>
      <c r="AP180" s="172"/>
      <c r="AQ180" s="172"/>
      <c r="AR180" s="172"/>
      <c r="AS180" s="172"/>
      <c r="AT180" s="172"/>
      <c r="AU180" s="172"/>
      <c r="AV180" s="172"/>
      <c r="AW180" s="172"/>
      <c r="AX180" s="649"/>
      <c r="AY180" s="649"/>
      <c r="AZ180" s="649"/>
      <c r="BA180" s="649"/>
      <c r="BB180" s="649"/>
      <c r="BC180" s="649"/>
      <c r="BD180" s="649"/>
      <c r="BE180" s="649"/>
      <c r="BF180" s="649"/>
      <c r="BG180" s="649"/>
      <c r="BH180" s="649"/>
      <c r="BI180" s="649"/>
      <c r="BJ180" s="649"/>
      <c r="BK180" s="649"/>
      <c r="BL180" s="649"/>
      <c r="BM180" s="649"/>
      <c r="BN180" s="649"/>
      <c r="BO180" s="649"/>
      <c r="BP180" s="649"/>
      <c r="BQ180" s="649"/>
      <c r="BR180" s="649"/>
      <c r="BS180" s="649"/>
      <c r="BT180" s="649"/>
      <c r="BU180" s="649"/>
      <c r="BV180" s="649"/>
      <c r="BW180" s="12"/>
      <c r="BX180" s="4"/>
      <c r="BY180" s="4"/>
      <c r="BZ180" s="4"/>
      <c r="CA180" s="4"/>
      <c r="CB180" s="4"/>
      <c r="CC180" s="4"/>
      <c r="CD180" s="4"/>
      <c r="CE180" s="4"/>
      <c r="CF180" s="4"/>
      <c r="CG180" s="4"/>
      <c r="CH180" s="4"/>
      <c r="CI180" s="13"/>
    </row>
    <row r="181" spans="1:87" ht="16.5" customHeight="1">
      <c r="A181" s="1597"/>
      <c r="B181" s="1597"/>
      <c r="C181" s="1597"/>
      <c r="W181" s="1541"/>
      <c r="X181" s="1542"/>
      <c r="Y181" s="1542"/>
      <c r="Z181" s="1543"/>
      <c r="AA181" s="650"/>
      <c r="AB181" s="650"/>
      <c r="AC181" s="490"/>
      <c r="AD181" s="650"/>
      <c r="AE181" s="225"/>
      <c r="AF181" s="238" t="s">
        <v>18</v>
      </c>
      <c r="AG181" s="1569" t="s">
        <v>400</v>
      </c>
      <c r="AH181" s="650"/>
      <c r="AI181" s="172"/>
      <c r="AJ181" s="172"/>
      <c r="AK181" s="172"/>
      <c r="AL181" s="172"/>
      <c r="AM181" s="172"/>
      <c r="AN181" s="172"/>
      <c r="AO181" s="172"/>
      <c r="AP181" s="172"/>
      <c r="AQ181" s="172"/>
      <c r="AR181" s="172"/>
      <c r="AS181" s="172"/>
      <c r="AT181" s="172"/>
      <c r="AU181" s="172"/>
      <c r="AV181" s="172"/>
      <c r="AW181" s="172"/>
      <c r="AX181" s="198"/>
      <c r="AY181" s="198"/>
      <c r="AZ181" s="198"/>
      <c r="BA181" s="220"/>
      <c r="BB181" s="220"/>
      <c r="BC181" s="198"/>
      <c r="BD181" s="398"/>
      <c r="BE181" s="398"/>
      <c r="BF181" s="398"/>
      <c r="BG181" s="398"/>
      <c r="BH181" s="398"/>
      <c r="BI181" s="398"/>
      <c r="BJ181" s="398"/>
      <c r="BK181" s="398"/>
      <c r="BL181" s="398"/>
      <c r="BM181" s="398"/>
      <c r="BN181" s="398"/>
      <c r="BO181" s="398"/>
      <c r="BP181" s="398"/>
      <c r="BQ181" s="398"/>
      <c r="BR181" s="398"/>
      <c r="BS181" s="198"/>
      <c r="BT181" s="198"/>
      <c r="BU181" s="198"/>
      <c r="BV181" s="198"/>
      <c r="BW181" s="12"/>
      <c r="BX181" s="4"/>
      <c r="BY181" s="4"/>
      <c r="BZ181" s="4"/>
      <c r="CA181" s="4"/>
      <c r="CB181" s="4"/>
      <c r="CC181" s="4"/>
      <c r="CD181" s="4"/>
      <c r="CE181" s="4"/>
      <c r="CF181" s="4"/>
      <c r="CG181" s="4"/>
      <c r="CH181" s="4"/>
      <c r="CI181" s="13"/>
    </row>
    <row r="182" spans="1:87" ht="27.75" customHeight="1">
      <c r="D182" s="116">
        <f>D5</f>
        <v>7</v>
      </c>
      <c r="E182" s="1518" t="s">
        <v>23</v>
      </c>
      <c r="F182" s="1519"/>
      <c r="K182" s="18"/>
      <c r="R182" s="19" t="s">
        <v>28</v>
      </c>
      <c r="S182" s="20">
        <f>H197+H207+H217+H227+H237+H247+H257</f>
        <v>0</v>
      </c>
      <c r="T182" s="645" t="s">
        <v>4</v>
      </c>
      <c r="W182" s="22" t="s">
        <v>34</v>
      </c>
      <c r="X182" s="23">
        <f>IF($CM$14=0,0,IF($AH$13&gt;0,0,CP103))</f>
        <v>0</v>
      </c>
      <c r="Y182" s="24" t="s">
        <v>39</v>
      </c>
      <c r="Z182" s="25">
        <f>IF($CM$14=0,0,IF($AH$13&gt;0,0,CP109))</f>
        <v>0</v>
      </c>
      <c r="AA182" s="26"/>
      <c r="AB182" s="26"/>
      <c r="AC182" s="502" t="s">
        <v>34</v>
      </c>
      <c r="AD182" s="506" t="str">
        <f t="shared" ref="AD182:AD187" si="114">AK199</f>
        <v>OK</v>
      </c>
      <c r="AE182" s="634"/>
      <c r="AF182" s="239">
        <f>CE188</f>
        <v>30000</v>
      </c>
      <c r="AG182" s="1570"/>
      <c r="AH182" s="26"/>
      <c r="AI182" s="268"/>
      <c r="AJ182" s="268"/>
      <c r="AK182" s="268"/>
      <c r="AL182" s="268"/>
      <c r="AM182" s="268"/>
      <c r="AN182" s="268"/>
      <c r="AO182" s="268"/>
      <c r="AP182" s="268"/>
      <c r="AQ182" s="268"/>
      <c r="AR182" s="268"/>
      <c r="AS182" s="268"/>
      <c r="AT182" s="268"/>
      <c r="AU182" s="268"/>
      <c r="AV182" s="268"/>
      <c r="AW182" s="268"/>
      <c r="AX182" s="198"/>
      <c r="AY182" s="198"/>
      <c r="AZ182" s="198"/>
      <c r="BA182" s="220"/>
      <c r="BB182" s="220"/>
      <c r="BC182" s="198"/>
      <c r="BD182" s="398"/>
      <c r="BE182" s="398"/>
      <c r="BF182" s="398"/>
      <c r="BG182" s="398"/>
      <c r="BH182" s="398"/>
      <c r="BI182" s="398"/>
      <c r="BJ182" s="398"/>
      <c r="BK182" s="398"/>
      <c r="BL182" s="398"/>
      <c r="BM182" s="398"/>
      <c r="BN182" s="398"/>
      <c r="BO182" s="398"/>
      <c r="BP182" s="398"/>
      <c r="BQ182" s="398"/>
      <c r="BR182" s="398"/>
      <c r="BS182" s="198"/>
      <c r="BT182" s="198"/>
      <c r="BU182" s="198"/>
      <c r="BV182" s="198"/>
      <c r="BW182" s="12"/>
      <c r="BX182" s="4"/>
      <c r="BY182" s="4"/>
      <c r="BZ182" s="4"/>
      <c r="CA182" s="4"/>
      <c r="CB182" s="4"/>
      <c r="CC182" s="4"/>
      <c r="CD182" s="1461" t="s">
        <v>399</v>
      </c>
      <c r="CE182" s="1461"/>
      <c r="CF182" s="1461"/>
      <c r="CG182" s="1461"/>
      <c r="CH182" s="1461"/>
      <c r="CI182" s="13"/>
    </row>
    <row r="183" spans="1:87" ht="27.75" customHeight="1">
      <c r="A183" s="1555">
        <f>'合計（印刷）'!B90</f>
        <v>0</v>
      </c>
      <c r="B183" s="1555"/>
      <c r="C183" s="1555"/>
      <c r="D183" s="1555"/>
      <c r="E183" s="1555"/>
      <c r="F183" s="1555"/>
      <c r="G183" s="1555"/>
      <c r="H183" s="1555"/>
      <c r="I183" s="1555"/>
      <c r="J183" s="1555"/>
      <c r="K183" s="1555"/>
      <c r="L183" s="1555"/>
      <c r="M183" s="1555"/>
      <c r="N183" s="1555"/>
      <c r="O183" s="1555"/>
      <c r="P183" s="1555"/>
      <c r="Q183" s="1555"/>
      <c r="R183" s="1555"/>
      <c r="S183" s="1555"/>
      <c r="T183" s="1555"/>
      <c r="U183" s="1555"/>
      <c r="W183" s="28" t="s">
        <v>35</v>
      </c>
      <c r="X183" s="29">
        <f t="shared" ref="X183:X187" si="115">IF($CM$14=0,0,IF($AH$13&gt;0,0,CP104))</f>
        <v>0</v>
      </c>
      <c r="Y183" s="30" t="s">
        <v>40</v>
      </c>
      <c r="Z183" s="31">
        <f t="shared" ref="Z183:Z185" si="116">IF($CM$14=0,0,IF($AH$13&gt;0,0,CP110))</f>
        <v>0</v>
      </c>
      <c r="AA183" s="26"/>
      <c r="AB183" s="26"/>
      <c r="AC183" s="503" t="s">
        <v>35</v>
      </c>
      <c r="AD183" s="507" t="str">
        <f t="shared" si="114"/>
        <v>OK</v>
      </c>
      <c r="AE183" s="634"/>
      <c r="AF183" s="237" t="s">
        <v>44</v>
      </c>
      <c r="AG183" s="1571">
        <f>IF(AF182&gt;=AF184,0,1)</f>
        <v>0</v>
      </c>
      <c r="AH183" s="26"/>
      <c r="AI183" s="174"/>
      <c r="AJ183" s="179"/>
      <c r="AK183" s="179"/>
      <c r="AL183" s="179"/>
      <c r="AM183" s="179"/>
      <c r="AN183" s="179"/>
      <c r="AO183" s="179"/>
      <c r="AP183" s="179"/>
      <c r="AQ183" s="179"/>
      <c r="AR183" s="179"/>
      <c r="AS183" s="179"/>
      <c r="AT183" s="179"/>
      <c r="AU183" s="179"/>
      <c r="AV183" s="179"/>
      <c r="AW183" s="179"/>
      <c r="AX183" s="198"/>
      <c r="AY183" s="143"/>
      <c r="AZ183" s="221"/>
      <c r="BA183" s="220"/>
      <c r="BB183" s="220"/>
      <c r="BC183" s="198"/>
      <c r="BD183" s="398"/>
      <c r="BE183" s="398"/>
      <c r="BF183" s="398"/>
      <c r="BG183" s="398"/>
      <c r="BH183" s="398"/>
      <c r="BI183" s="398"/>
      <c r="BJ183" s="398"/>
      <c r="BK183" s="398"/>
      <c r="BL183" s="398"/>
      <c r="BM183" s="398"/>
      <c r="BN183" s="398"/>
      <c r="BO183" s="398"/>
      <c r="BP183" s="398"/>
      <c r="BQ183" s="398"/>
      <c r="BR183" s="398"/>
      <c r="BS183" s="198"/>
      <c r="BT183" s="198"/>
      <c r="BU183" s="198"/>
      <c r="BV183" s="198"/>
      <c r="BW183" s="12"/>
      <c r="BX183" s="32"/>
      <c r="BY183" s="33" t="str">
        <f>BY193</f>
        <v>料率</v>
      </c>
      <c r="BZ183" s="33">
        <f>BZ193</f>
        <v>7</v>
      </c>
      <c r="CA183" s="33">
        <f>CA193</f>
        <v>5</v>
      </c>
      <c r="CB183" s="33">
        <f>CB193</f>
        <v>2</v>
      </c>
      <c r="CC183" s="4"/>
      <c r="CD183" s="34"/>
      <c r="CE183" s="35" t="s">
        <v>19</v>
      </c>
      <c r="CF183" s="36">
        <v>7</v>
      </c>
      <c r="CG183" s="36">
        <v>5</v>
      </c>
      <c r="CH183" s="36">
        <v>2</v>
      </c>
      <c r="CI183" s="13"/>
    </row>
    <row r="184" spans="1:87" ht="27.75" customHeight="1">
      <c r="A184" s="37"/>
      <c r="B184" s="38"/>
      <c r="C184" s="38"/>
      <c r="D184" s="38"/>
      <c r="E184" s="38"/>
      <c r="F184" s="38"/>
      <c r="G184" s="38"/>
      <c r="H184" s="619"/>
      <c r="I184" s="38"/>
      <c r="J184" s="38"/>
      <c r="K184" s="40" t="s">
        <v>9</v>
      </c>
      <c r="L184" s="38"/>
      <c r="M184" s="38"/>
      <c r="N184" s="41"/>
      <c r="O184" s="166"/>
      <c r="P184" s="167"/>
      <c r="Q184" s="38"/>
      <c r="R184" s="38"/>
      <c r="S184" s="38"/>
      <c r="T184" s="38"/>
      <c r="U184" s="38"/>
      <c r="V184" s="141"/>
      <c r="W184" s="28" t="s">
        <v>36</v>
      </c>
      <c r="X184" s="29">
        <f t="shared" si="115"/>
        <v>0</v>
      </c>
      <c r="Y184" s="30" t="s">
        <v>41</v>
      </c>
      <c r="Z184" s="31">
        <f t="shared" si="116"/>
        <v>0</v>
      </c>
      <c r="AA184" s="26"/>
      <c r="AB184" s="26"/>
      <c r="AC184" s="503" t="s">
        <v>36</v>
      </c>
      <c r="AD184" s="507" t="str">
        <f t="shared" si="114"/>
        <v>OK</v>
      </c>
      <c r="AE184" s="634"/>
      <c r="AF184" s="45">
        <f>AF187+AF193+AF203+AF213+AF223+AF233+AF243+AF253</f>
        <v>-660</v>
      </c>
      <c r="AG184" s="1572"/>
      <c r="AH184" s="26"/>
      <c r="AI184" s="174"/>
      <c r="AJ184" s="179"/>
      <c r="AK184" s="179"/>
      <c r="AL184" s="179"/>
      <c r="AM184" s="179"/>
      <c r="AN184" s="179"/>
      <c r="AO184" s="179"/>
      <c r="AP184" s="179"/>
      <c r="AQ184" s="179"/>
      <c r="AR184" s="179"/>
      <c r="AS184" s="179"/>
      <c r="AT184" s="179"/>
      <c r="AU184" s="179"/>
      <c r="AV184" s="179"/>
      <c r="AW184" s="179"/>
      <c r="AX184" s="198"/>
      <c r="AY184" s="143"/>
      <c r="AZ184" s="221"/>
      <c r="BA184" s="220"/>
      <c r="BB184" s="220"/>
      <c r="BC184" s="198"/>
      <c r="BD184" s="398"/>
      <c r="BE184" s="398"/>
      <c r="BF184" s="398"/>
      <c r="BG184" s="398"/>
      <c r="BH184" s="398"/>
      <c r="BI184" s="398"/>
      <c r="BJ184" s="398"/>
      <c r="BK184" s="398"/>
      <c r="BL184" s="398"/>
      <c r="BM184" s="398"/>
      <c r="BN184" s="398"/>
      <c r="BO184" s="398"/>
      <c r="BP184" s="398"/>
      <c r="BQ184" s="398"/>
      <c r="BR184" s="398"/>
      <c r="BS184" s="198"/>
      <c r="BT184" s="198"/>
      <c r="BU184" s="198"/>
      <c r="BV184" s="198"/>
      <c r="BW184" s="12"/>
      <c r="BX184" s="32" t="s">
        <v>1</v>
      </c>
      <c r="BY184" s="44">
        <v>0</v>
      </c>
      <c r="BZ184" s="45">
        <f>CF187</f>
        <v>660</v>
      </c>
      <c r="CA184" s="45">
        <f>CG187</f>
        <v>470</v>
      </c>
      <c r="CB184" s="45">
        <f>CH187</f>
        <v>190</v>
      </c>
      <c r="CC184" s="4"/>
      <c r="CD184" s="46" t="s">
        <v>0</v>
      </c>
      <c r="CE184" s="47">
        <f>入力画面!E81</f>
        <v>0.31</v>
      </c>
      <c r="CF184" s="48"/>
      <c r="CG184" s="48"/>
      <c r="CH184" s="48"/>
      <c r="CI184" s="13"/>
    </row>
    <row r="185" spans="1:87" ht="27.75" customHeight="1">
      <c r="A185" s="1384" t="s">
        <v>1</v>
      </c>
      <c r="B185" s="1385"/>
      <c r="C185" s="1010" t="s">
        <v>107</v>
      </c>
      <c r="D185" s="1379" t="s">
        <v>7</v>
      </c>
      <c r="E185" s="1382">
        <f>IF(S182&gt;0,CE187,0)</f>
        <v>0</v>
      </c>
      <c r="F185" s="1382"/>
      <c r="G185" s="1382"/>
      <c r="H185" s="1010" t="s">
        <v>109</v>
      </c>
      <c r="I185" s="12"/>
      <c r="J185" s="1010" t="s">
        <v>59</v>
      </c>
      <c r="K185" s="51">
        <f>MAX(BV253:BV259)</f>
        <v>0</v>
      </c>
      <c r="L185" s="52" t="s">
        <v>5</v>
      </c>
      <c r="M185" s="1395" t="s">
        <v>122</v>
      </c>
      <c r="N185" s="1392" t="s">
        <v>14</v>
      </c>
      <c r="O185" s="1525">
        <f>E185*K185/K186</f>
        <v>0</v>
      </c>
      <c r="P185" s="1525"/>
      <c r="Q185" s="1524" t="s">
        <v>6</v>
      </c>
      <c r="R185" s="1391"/>
      <c r="S185" s="1524"/>
      <c r="T185" s="641"/>
      <c r="U185" s="641"/>
      <c r="V185" s="53"/>
      <c r="W185" s="28" t="s">
        <v>43</v>
      </c>
      <c r="X185" s="29">
        <f t="shared" si="115"/>
        <v>0</v>
      </c>
      <c r="Y185" s="30" t="s">
        <v>42</v>
      </c>
      <c r="Z185" s="31">
        <f t="shared" si="116"/>
        <v>0</v>
      </c>
      <c r="AA185" s="26"/>
      <c r="AB185" s="26"/>
      <c r="AC185" s="503" t="s">
        <v>43</v>
      </c>
      <c r="AD185" s="507" t="str">
        <f t="shared" si="114"/>
        <v>OK</v>
      </c>
      <c r="AE185" s="494">
        <f>IF(AG183&gt;0,"限度超過",U197+U207+U217+U227+U237+U257)</f>
        <v>0</v>
      </c>
      <c r="AF185" s="26"/>
      <c r="AG185" s="26"/>
      <c r="AH185" s="26"/>
      <c r="AI185" s="173"/>
      <c r="AJ185" s="173"/>
      <c r="AK185" s="173"/>
      <c r="AL185" s="173"/>
      <c r="AM185" s="173"/>
      <c r="AN185" s="173"/>
      <c r="AO185" s="173"/>
      <c r="AP185" s="173"/>
      <c r="AQ185" s="173"/>
      <c r="AR185" s="173"/>
      <c r="AS185" s="173"/>
      <c r="AT185" s="173"/>
      <c r="AU185" s="173"/>
      <c r="AV185" s="173"/>
      <c r="AW185" s="173"/>
      <c r="AX185" s="198"/>
      <c r="AY185" s="143"/>
      <c r="AZ185" s="221"/>
      <c r="BA185" s="220"/>
      <c r="BB185" s="220"/>
      <c r="BC185" s="198"/>
      <c r="BD185" s="398"/>
      <c r="BE185" s="398"/>
      <c r="BF185" s="398"/>
      <c r="BG185" s="398"/>
      <c r="BH185" s="398"/>
      <c r="BI185" s="398"/>
      <c r="BJ185" s="398"/>
      <c r="BK185" s="398"/>
      <c r="BL185" s="398"/>
      <c r="BM185" s="398"/>
      <c r="BN185" s="398"/>
      <c r="BO185" s="398"/>
      <c r="BP185" s="398"/>
      <c r="BQ185" s="398"/>
      <c r="BR185" s="398"/>
      <c r="BS185" s="198"/>
      <c r="BT185" s="198"/>
      <c r="BU185" s="198"/>
      <c r="BV185" s="198"/>
      <c r="BW185" s="12"/>
      <c r="BX185" s="32" t="s">
        <v>8</v>
      </c>
      <c r="BY185" s="45">
        <f>K185</f>
        <v>0</v>
      </c>
      <c r="BZ185" s="45">
        <f t="shared" ref="BZ185:BZ186" si="117">BY185</f>
        <v>0</v>
      </c>
      <c r="CA185" s="45">
        <f t="shared" ref="CA185:CA186" si="118">BZ185</f>
        <v>0</v>
      </c>
      <c r="CB185" s="45">
        <f t="shared" ref="CB185:CB186" si="119">CA185</f>
        <v>0</v>
      </c>
      <c r="CC185" s="4"/>
      <c r="CD185" s="46" t="s">
        <v>17</v>
      </c>
      <c r="CE185" s="54">
        <f>入力画面!E82</f>
        <v>930</v>
      </c>
      <c r="CF185" s="54">
        <f>ROUNDUP(CE185*CF183/10,-1)</f>
        <v>660</v>
      </c>
      <c r="CG185" s="54">
        <f>ROUNDUP(CE185*CG183/10,-1)</f>
        <v>470</v>
      </c>
      <c r="CH185" s="54">
        <f>ROUNDUP(CE185*CH183/10,-1)</f>
        <v>190</v>
      </c>
      <c r="CI185" s="13"/>
    </row>
    <row r="186" spans="1:87" ht="27.75" customHeight="1">
      <c r="A186" s="1384"/>
      <c r="B186" s="1385"/>
      <c r="C186" s="1010"/>
      <c r="D186" s="1379"/>
      <c r="E186" s="1382"/>
      <c r="F186" s="1382"/>
      <c r="G186" s="1382"/>
      <c r="H186" s="1010"/>
      <c r="I186" s="12"/>
      <c r="J186" s="1010"/>
      <c r="K186" s="55">
        <v>12</v>
      </c>
      <c r="L186" s="12" t="s">
        <v>5</v>
      </c>
      <c r="M186" s="1395"/>
      <c r="N186" s="1392"/>
      <c r="O186" s="1525"/>
      <c r="P186" s="1525"/>
      <c r="Q186" s="1524"/>
      <c r="R186" s="1391"/>
      <c r="S186" s="1524"/>
      <c r="T186" s="641" t="s">
        <v>113</v>
      </c>
      <c r="U186" s="641"/>
      <c r="V186" s="53"/>
      <c r="W186" s="28" t="s">
        <v>37</v>
      </c>
      <c r="X186" s="29">
        <f t="shared" si="115"/>
        <v>0</v>
      </c>
      <c r="Y186" s="1557" t="s">
        <v>44</v>
      </c>
      <c r="Z186" s="1420">
        <f>IF($AH$13&gt;0,0,X182+X183+X184+X185+X186+X187+Z182+Z183+Z184+Z185)</f>
        <v>0</v>
      </c>
      <c r="AA186" s="26"/>
      <c r="AB186" s="26"/>
      <c r="AC186" s="503" t="s">
        <v>37</v>
      </c>
      <c r="AD186" s="507" t="str">
        <f t="shared" si="114"/>
        <v>OK</v>
      </c>
      <c r="AE186" s="495" t="str">
        <f>IF(AG183&gt;0,"限度超過",IF(Z186=AE185,"OK","エラー"))</f>
        <v>OK</v>
      </c>
      <c r="AF186" s="470"/>
      <c r="AG186" s="26"/>
      <c r="AH186" s="4"/>
      <c r="AI186" s="173"/>
      <c r="AJ186" s="174"/>
      <c r="AK186" s="174"/>
      <c r="AL186" s="174"/>
      <c r="AM186" s="174"/>
      <c r="AN186" s="174"/>
      <c r="AO186" s="174"/>
      <c r="AP186" s="174"/>
      <c r="AQ186" s="174"/>
      <c r="AR186" s="174"/>
      <c r="AS186" s="174"/>
      <c r="AT186" s="174"/>
      <c r="AU186" s="174"/>
      <c r="AV186" s="174"/>
      <c r="AW186" s="174"/>
      <c r="AX186" s="12"/>
      <c r="AY186" s="143"/>
      <c r="AZ186" s="221"/>
      <c r="BB186" s="192"/>
      <c r="BC186" s="12"/>
      <c r="BE186" s="57"/>
      <c r="BG186" s="57"/>
      <c r="BH186" s="12"/>
      <c r="BJ186" s="57"/>
      <c r="BL186" s="57"/>
      <c r="BM186" s="12"/>
      <c r="BO186" s="57"/>
      <c r="BQ186" s="57"/>
      <c r="BR186" s="12"/>
      <c r="BS186" s="12"/>
      <c r="BT186" s="12"/>
      <c r="BU186" s="12"/>
      <c r="BV186" s="12"/>
      <c r="BW186" s="12"/>
      <c r="BX186" s="32" t="s">
        <v>25</v>
      </c>
      <c r="BY186" s="45">
        <f>K186</f>
        <v>12</v>
      </c>
      <c r="BZ186" s="45">
        <f t="shared" si="117"/>
        <v>12</v>
      </c>
      <c r="CA186" s="45">
        <f t="shared" si="118"/>
        <v>12</v>
      </c>
      <c r="CB186" s="45">
        <f t="shared" si="119"/>
        <v>12</v>
      </c>
      <c r="CC186" s="4"/>
      <c r="CD186" s="682" t="s">
        <v>437</v>
      </c>
      <c r="CE186" s="54">
        <f>入力画面!E83</f>
        <v>50</v>
      </c>
      <c r="CF186" s="54">
        <f>ROUNDUP(CE186*CF183/10,-1)</f>
        <v>40</v>
      </c>
      <c r="CG186" s="54">
        <f>ROUNDUP(CE186*CG183/10,-1)</f>
        <v>30</v>
      </c>
      <c r="CH186" s="54">
        <f>ROUNDUP(CE186*CH183/10,-1)</f>
        <v>10</v>
      </c>
      <c r="CI186" s="13"/>
    </row>
    <row r="187" spans="1:87" ht="27.75" customHeight="1">
      <c r="A187" s="165"/>
      <c r="B187" s="12"/>
      <c r="C187" s="12"/>
      <c r="D187" s="12"/>
      <c r="E187" s="12"/>
      <c r="F187" s="12"/>
      <c r="G187" s="12"/>
      <c r="H187" s="620"/>
      <c r="I187" s="12"/>
      <c r="J187" s="12"/>
      <c r="K187" s="76" t="s">
        <v>9</v>
      </c>
      <c r="L187" s="12"/>
      <c r="M187" s="12"/>
      <c r="N187" s="94"/>
      <c r="O187" s="42"/>
      <c r="P187" s="43"/>
      <c r="Q187" s="12"/>
      <c r="R187" s="12"/>
      <c r="S187" s="12" t="s">
        <v>116</v>
      </c>
      <c r="T187" s="630">
        <f>O185-O188</f>
        <v>0</v>
      </c>
      <c r="U187" s="12" t="s">
        <v>6</v>
      </c>
      <c r="V187" s="12"/>
      <c r="W187" s="65" t="s">
        <v>38</v>
      </c>
      <c r="X187" s="66">
        <f t="shared" si="115"/>
        <v>0</v>
      </c>
      <c r="Y187" s="1558"/>
      <c r="Z187" s="1559"/>
      <c r="AA187" s="4"/>
      <c r="AB187" s="4"/>
      <c r="AC187" s="503" t="s">
        <v>38</v>
      </c>
      <c r="AD187" s="507" t="str">
        <f t="shared" si="114"/>
        <v>OK</v>
      </c>
      <c r="AE187" s="494">
        <f>IF(AH102&gt;0,0,L264)</f>
        <v>0</v>
      </c>
      <c r="AF187" s="471">
        <f>E185-E188</f>
        <v>-660</v>
      </c>
      <c r="AG187" s="4"/>
      <c r="AH187" s="4"/>
      <c r="AI187" s="269"/>
      <c r="AJ187" s="179"/>
      <c r="AK187" s="179"/>
      <c r="AL187" s="179"/>
      <c r="AM187" s="179"/>
      <c r="AN187" s="179"/>
      <c r="AO187" s="179"/>
      <c r="AP187" s="179"/>
      <c r="AQ187" s="179"/>
      <c r="AR187" s="179"/>
      <c r="AS187" s="179"/>
      <c r="AT187" s="179"/>
      <c r="AU187" s="179"/>
      <c r="AV187" s="179"/>
      <c r="AW187" s="179"/>
      <c r="AX187" s="12"/>
      <c r="AY187" s="1468" t="s">
        <v>429</v>
      </c>
      <c r="AZ187" s="1603"/>
      <c r="BA187" s="1604"/>
      <c r="BB187" s="462">
        <f>IF(AG2,"限度超過",BB197+BB207+BB217+BB227+BB237+BB247+BB257)</f>
        <v>0</v>
      </c>
      <c r="BC187" s="12"/>
      <c r="BD187" s="142"/>
      <c r="BE187" s="57"/>
      <c r="BH187" s="12"/>
      <c r="BJ187" s="57"/>
      <c r="BM187" s="12"/>
      <c r="BO187" s="57"/>
      <c r="BR187" s="12"/>
      <c r="BS187" s="12"/>
      <c r="BT187" s="12"/>
      <c r="BU187" s="12"/>
      <c r="BV187" s="12"/>
      <c r="BW187" s="12"/>
      <c r="BX187" s="67" t="s">
        <v>27</v>
      </c>
      <c r="BY187" s="44">
        <v>0</v>
      </c>
      <c r="BZ187" s="45">
        <f>ROUNDDOWN(BZ184*BZ185/BZ186,0)</f>
        <v>0</v>
      </c>
      <c r="CA187" s="45">
        <f>ROUNDDOWN(CA184*CA185/CA186,0)</f>
        <v>0</v>
      </c>
      <c r="CB187" s="45">
        <f>ROUNDDOWN(CB184*CB185/CB186,0)</f>
        <v>0</v>
      </c>
      <c r="CC187" s="4"/>
      <c r="CD187" s="46" t="s">
        <v>1</v>
      </c>
      <c r="CE187" s="54">
        <f>入力画面!E84</f>
        <v>940</v>
      </c>
      <c r="CF187" s="54">
        <f>ROUNDUP(CE187*CF183/10,-1)</f>
        <v>660</v>
      </c>
      <c r="CG187" s="54">
        <f>ROUNDUP(CE187*CG183/10,-1)</f>
        <v>470</v>
      </c>
      <c r="CH187" s="54">
        <f>ROUNDUP(CE187*CH183/10,-1)</f>
        <v>190</v>
      </c>
      <c r="CI187" s="13"/>
    </row>
    <row r="188" spans="1:87" ht="16.5" customHeight="1">
      <c r="A188" s="1384"/>
      <c r="B188" s="1385"/>
      <c r="C188" s="1010" t="s">
        <v>24</v>
      </c>
      <c r="D188" s="1379" t="s">
        <v>7</v>
      </c>
      <c r="E188" s="1382">
        <f>IF(D182=0,0,IF(D182=7,CF187,IF(D182=5,CG187,IF(D182=2,CH187,"軽減誤り"))))</f>
        <v>660</v>
      </c>
      <c r="F188" s="1382"/>
      <c r="G188" s="1382"/>
      <c r="H188" s="1010" t="s">
        <v>109</v>
      </c>
      <c r="I188" s="12"/>
      <c r="J188" s="1010" t="s">
        <v>59</v>
      </c>
      <c r="K188" s="51">
        <f>MAX(BV253:BV259)</f>
        <v>0</v>
      </c>
      <c r="L188" s="52" t="s">
        <v>5</v>
      </c>
      <c r="M188" s="1395" t="s">
        <v>122</v>
      </c>
      <c r="N188" s="1392" t="s">
        <v>14</v>
      </c>
      <c r="O188" s="1525">
        <f>E188*K188/K189</f>
        <v>0</v>
      </c>
      <c r="P188" s="1525"/>
      <c r="Q188" s="1524" t="s">
        <v>6</v>
      </c>
      <c r="R188" s="12"/>
      <c r="S188" s="12"/>
      <c r="T188" s="641"/>
      <c r="U188" s="641"/>
      <c r="V188" s="12"/>
      <c r="W188" s="1573" t="s">
        <v>120</v>
      </c>
      <c r="X188" s="1574"/>
      <c r="Y188" s="1575">
        <f>IF(Z186=0,0,Z186/K185)</f>
        <v>0</v>
      </c>
      <c r="Z188" s="1576"/>
      <c r="AA188" s="4"/>
      <c r="AB188" s="4"/>
      <c r="AC188" s="503" t="s">
        <v>39</v>
      </c>
      <c r="AD188" s="505" t="str">
        <f>AM199</f>
        <v>OK</v>
      </c>
      <c r="AE188" s="495" t="str">
        <f>IF(Z186=AE187,"OK","エラー")</f>
        <v>OK</v>
      </c>
      <c r="AF188" s="472"/>
      <c r="AG188" s="4"/>
      <c r="AH188" s="4" t="s">
        <v>166</v>
      </c>
      <c r="AI188" s="174"/>
      <c r="AJ188" s="174"/>
      <c r="AK188" s="174"/>
      <c r="AL188" s="174"/>
      <c r="AM188" s="174"/>
      <c r="AN188" s="174"/>
      <c r="AO188" s="174"/>
      <c r="AP188" s="174"/>
      <c r="AQ188" s="174"/>
      <c r="AR188" s="174"/>
      <c r="AS188" s="174"/>
      <c r="AT188" s="174"/>
      <c r="AU188" s="174"/>
      <c r="AV188" s="174"/>
      <c r="AW188" s="174"/>
      <c r="AX188" s="12"/>
      <c r="AY188" s="143"/>
      <c r="AZ188" s="57"/>
      <c r="BB188" s="1471" t="s">
        <v>265</v>
      </c>
      <c r="BC188" s="12"/>
      <c r="BD188" s="142"/>
      <c r="BE188" s="57"/>
      <c r="BH188" s="12"/>
      <c r="BJ188" s="57"/>
      <c r="BM188" s="12"/>
      <c r="BO188" s="57"/>
      <c r="BR188" s="12"/>
      <c r="BS188" s="12"/>
      <c r="BT188" s="12"/>
      <c r="BU188" s="12"/>
      <c r="BV188" s="12"/>
      <c r="BW188" s="12"/>
      <c r="BX188" s="4"/>
      <c r="BY188" s="164"/>
      <c r="BZ188" s="26"/>
      <c r="CA188" s="26"/>
      <c r="CB188" s="26"/>
      <c r="CC188" s="4"/>
      <c r="CD188" s="46" t="s">
        <v>18</v>
      </c>
      <c r="CE188" s="54">
        <f>入力画面!E85</f>
        <v>30000</v>
      </c>
      <c r="CF188" s="48"/>
      <c r="CG188" s="48"/>
      <c r="CH188" s="48"/>
      <c r="CI188" s="13"/>
    </row>
    <row r="189" spans="1:87" ht="16.5" customHeight="1" thickBot="1">
      <c r="A189" s="1384"/>
      <c r="B189" s="1385"/>
      <c r="C189" s="1010"/>
      <c r="D189" s="1379"/>
      <c r="E189" s="1382"/>
      <c r="F189" s="1382"/>
      <c r="G189" s="1382"/>
      <c r="H189" s="1010"/>
      <c r="I189" s="12"/>
      <c r="J189" s="1010"/>
      <c r="K189" s="55">
        <v>12</v>
      </c>
      <c r="L189" s="12" t="s">
        <v>5</v>
      </c>
      <c r="M189" s="1395"/>
      <c r="N189" s="1392"/>
      <c r="O189" s="1525"/>
      <c r="P189" s="1525"/>
      <c r="Q189" s="1524"/>
      <c r="R189" s="12"/>
      <c r="S189" s="12"/>
      <c r="T189" s="641" t="s">
        <v>114</v>
      </c>
      <c r="U189" s="641"/>
      <c r="V189" s="75" t="s">
        <v>118</v>
      </c>
      <c r="W189" s="4"/>
      <c r="X189" s="26"/>
      <c r="Y189" s="74"/>
      <c r="Z189" s="185"/>
      <c r="AA189" s="4"/>
      <c r="AB189" s="4"/>
      <c r="AC189" s="503" t="s">
        <v>40</v>
      </c>
      <c r="AD189" s="505" t="str">
        <f>AM200</f>
        <v>OK</v>
      </c>
      <c r="AE189" s="74"/>
      <c r="AF189" s="229"/>
      <c r="AG189" s="4"/>
      <c r="AH189" s="621" t="s">
        <v>117</v>
      </c>
      <c r="AI189" s="174"/>
      <c r="AJ189" s="174"/>
      <c r="AK189" s="174"/>
      <c r="AL189" s="174"/>
      <c r="AM189" s="174"/>
      <c r="AN189" s="174"/>
      <c r="AO189" s="174"/>
      <c r="AP189" s="174"/>
      <c r="AQ189" s="174"/>
      <c r="AR189" s="174"/>
      <c r="AS189" s="174"/>
      <c r="AT189" s="174"/>
      <c r="AU189" s="174"/>
      <c r="AV189" s="174"/>
      <c r="AW189" s="174"/>
      <c r="AX189" s="12"/>
      <c r="AY189" s="143"/>
      <c r="AZ189" s="57"/>
      <c r="BB189" s="1472"/>
      <c r="BC189" s="12"/>
      <c r="BD189" s="142"/>
      <c r="BE189" s="57"/>
      <c r="BH189" s="12"/>
      <c r="BJ189" s="57"/>
      <c r="BM189" s="12"/>
      <c r="BO189" s="57"/>
      <c r="BR189" s="12"/>
      <c r="BS189" s="12"/>
      <c r="BT189" s="12"/>
      <c r="BU189" s="12"/>
      <c r="BV189" s="12"/>
      <c r="BW189" s="12"/>
      <c r="BX189" s="4"/>
      <c r="BY189" s="164"/>
      <c r="BZ189" s="26"/>
      <c r="CA189" s="26"/>
      <c r="CB189" s="26"/>
      <c r="CC189" s="4"/>
      <c r="CD189" s="35" t="s">
        <v>21</v>
      </c>
      <c r="CE189" s="54">
        <f>入力画面!E86</f>
        <v>430000</v>
      </c>
      <c r="CF189" s="48"/>
      <c r="CG189" s="48"/>
      <c r="CH189" s="48"/>
      <c r="CI189" s="13"/>
    </row>
    <row r="190" spans="1:87" ht="16.5" customHeight="1" thickTop="1">
      <c r="A190" s="58"/>
      <c r="B190" s="59"/>
      <c r="C190" s="59"/>
      <c r="D190" s="52"/>
      <c r="E190" s="60"/>
      <c r="F190" s="52"/>
      <c r="G190" s="52"/>
      <c r="H190" s="622"/>
      <c r="I190" s="52"/>
      <c r="J190" s="622"/>
      <c r="K190" s="61"/>
      <c r="L190" s="52"/>
      <c r="M190" s="52"/>
      <c r="N190" s="62"/>
      <c r="O190" s="62"/>
      <c r="P190" s="52"/>
      <c r="Q190" s="63"/>
      <c r="R190" s="60"/>
      <c r="S190" s="59" t="s">
        <v>115</v>
      </c>
      <c r="T190" s="210">
        <f>入力画面!I154+K207+K217+K227+K237+K247+K257</f>
        <v>0</v>
      </c>
      <c r="U190" s="59" t="s">
        <v>5</v>
      </c>
      <c r="V190" s="52" t="s">
        <v>125</v>
      </c>
      <c r="W190" s="186"/>
      <c r="X190" s="187">
        <f>IF(K185=0,0,T187/T190)</f>
        <v>0</v>
      </c>
      <c r="Y190" s="60" t="s">
        <v>6</v>
      </c>
      <c r="Z190" s="642"/>
      <c r="AA190" s="4"/>
      <c r="AB190" s="4"/>
      <c r="AC190" s="503" t="s">
        <v>41</v>
      </c>
      <c r="AD190" s="505" t="str">
        <f>AM201</f>
        <v>OK</v>
      </c>
      <c r="AE190" s="74"/>
      <c r="AF190" s="229"/>
      <c r="AG190" s="4"/>
      <c r="AH190" s="273">
        <f>AH13</f>
        <v>0</v>
      </c>
      <c r="AI190" s="174"/>
      <c r="AJ190" s="174"/>
      <c r="AK190" s="174"/>
      <c r="AL190" s="174"/>
      <c r="AM190" s="174"/>
      <c r="AN190" s="174"/>
      <c r="AO190" s="1407" t="s">
        <v>421</v>
      </c>
      <c r="AP190" s="1407"/>
      <c r="AQ190" s="1407"/>
      <c r="AR190" s="1407"/>
      <c r="AS190" s="347"/>
      <c r="AT190" s="1406" t="s">
        <v>414</v>
      </c>
      <c r="AU190" s="1406"/>
      <c r="AV190" s="347"/>
      <c r="AW190" s="347"/>
      <c r="AX190" s="318"/>
      <c r="AY190" s="1578" t="s">
        <v>414</v>
      </c>
      <c r="AZ190" s="1579"/>
      <c r="BA190" s="414"/>
      <c r="BB190" s="415"/>
      <c r="BC190" s="318"/>
      <c r="BD190" s="441"/>
      <c r="BE190" s="442"/>
      <c r="BF190" s="443"/>
      <c r="BG190" s="443"/>
      <c r="BH190" s="444"/>
      <c r="BI190" s="443"/>
      <c r="BJ190" s="442"/>
      <c r="BK190" s="443"/>
      <c r="BL190" s="443"/>
      <c r="BM190" s="444"/>
      <c r="BN190" s="443"/>
      <c r="BO190" s="442"/>
      <c r="BP190" s="443"/>
      <c r="BQ190" s="443"/>
      <c r="BR190" s="445"/>
      <c r="BS190" s="12"/>
      <c r="BT190" s="12"/>
      <c r="BU190" s="12"/>
      <c r="BV190" s="12"/>
      <c r="BW190" s="12"/>
      <c r="BX190" s="4"/>
      <c r="BY190" s="164"/>
      <c r="BZ190" s="26"/>
      <c r="CA190" s="26"/>
      <c r="CB190" s="26"/>
      <c r="CC190" s="4"/>
      <c r="CD190" s="575" t="s">
        <v>340</v>
      </c>
      <c r="CE190" s="54">
        <f>入力画面!E87</f>
        <v>460</v>
      </c>
      <c r="CF190" s="54">
        <f>入力画面!G87</f>
        <v>130</v>
      </c>
      <c r="CG190" s="54">
        <f>入力画面!J87</f>
        <v>230</v>
      </c>
      <c r="CH190" s="54">
        <f>入力画面!N87</f>
        <v>370</v>
      </c>
      <c r="CI190" s="13"/>
    </row>
    <row r="191" spans="1:87" ht="20.25" customHeight="1">
      <c r="A191" s="68"/>
      <c r="B191" s="68"/>
      <c r="C191" s="68"/>
      <c r="E191" s="69"/>
      <c r="J191" s="9"/>
      <c r="K191" s="18"/>
      <c r="Q191" s="640"/>
      <c r="R191" s="69"/>
      <c r="S191" s="68"/>
      <c r="T191" s="1585" t="s">
        <v>438</v>
      </c>
      <c r="U191" s="1585"/>
      <c r="V191" s="1585"/>
      <c r="W191" s="1585"/>
      <c r="X191" s="1585"/>
      <c r="Y191" s="1585"/>
      <c r="Z191" s="1585"/>
      <c r="AA191" s="624"/>
      <c r="AB191" s="624"/>
      <c r="AC191" s="503" t="s">
        <v>42</v>
      </c>
      <c r="AD191" s="505" t="str">
        <f>AM202</f>
        <v>OK</v>
      </c>
      <c r="AE191" s="624"/>
      <c r="AF191" s="230"/>
      <c r="AG191" s="624"/>
      <c r="AH191" s="4"/>
      <c r="AI191" s="170"/>
      <c r="AJ191" s="1538" t="s">
        <v>268</v>
      </c>
      <c r="AK191" s="1539"/>
      <c r="AL191" s="1539"/>
      <c r="AM191" s="1540"/>
      <c r="AN191" s="170"/>
      <c r="AO191" s="367" t="s">
        <v>217</v>
      </c>
      <c r="AP191" s="1401" t="s">
        <v>422</v>
      </c>
      <c r="AQ191" s="1401"/>
      <c r="AR191" s="1401"/>
      <c r="AS191" s="369"/>
      <c r="AT191" s="1413" t="s">
        <v>218</v>
      </c>
      <c r="AU191" s="1413"/>
      <c r="AV191" s="1413"/>
      <c r="AW191" s="1413"/>
      <c r="AX191" s="318"/>
      <c r="AY191" s="416" t="s">
        <v>224</v>
      </c>
      <c r="AZ191" s="1448" t="s">
        <v>223</v>
      </c>
      <c r="BA191" s="1448"/>
      <c r="BB191" s="1449"/>
      <c r="BC191" s="318"/>
      <c r="BD191" s="1426" t="s">
        <v>261</v>
      </c>
      <c r="BE191" s="1427"/>
      <c r="BF191" s="1427"/>
      <c r="BG191" s="1427"/>
      <c r="BH191" s="12"/>
      <c r="BI191" s="437" t="s">
        <v>262</v>
      </c>
      <c r="BJ191" s="1438" t="s">
        <v>260</v>
      </c>
      <c r="BK191" s="1438"/>
      <c r="BL191" s="1438"/>
      <c r="BM191" s="12"/>
      <c r="BN191" s="12"/>
      <c r="BO191" s="143" t="s">
        <v>263</v>
      </c>
      <c r="BP191" s="12" t="s">
        <v>88</v>
      </c>
      <c r="BQ191" s="12"/>
      <c r="BR191" s="446"/>
      <c r="BS191" s="12"/>
      <c r="BT191" s="12"/>
      <c r="BU191" s="12"/>
      <c r="BV191" s="12"/>
      <c r="BW191" s="12"/>
      <c r="BX191" s="4"/>
      <c r="BY191" s="4"/>
      <c r="BZ191" s="4"/>
      <c r="CA191" s="4"/>
      <c r="CB191" s="4"/>
      <c r="CC191" s="4"/>
      <c r="CF191" s="586" t="s">
        <v>353</v>
      </c>
      <c r="CI191" s="13"/>
    </row>
    <row r="192" spans="1:87" ht="18" customHeight="1">
      <c r="A192" s="194" t="s">
        <v>51</v>
      </c>
      <c r="B192" s="1396">
        <f>IF(I193=1,B15,0)</f>
        <v>0</v>
      </c>
      <c r="C192" s="1396"/>
      <c r="D192" s="1396"/>
      <c r="E192" s="644" t="s">
        <v>11</v>
      </c>
      <c r="F192" s="1398" t="s">
        <v>57</v>
      </c>
      <c r="G192" s="1398"/>
      <c r="H192" s="1399"/>
      <c r="I192" s="1380">
        <f>IF(I104=1,1,0)</f>
        <v>0</v>
      </c>
      <c r="J192" s="1381"/>
      <c r="K192" s="1515">
        <f>IF(H197=0,0,IF($K$185=0, "加入月が未入力です!！",IF($L$176=$A$176,"限度超過額に達しているため計算不可能!!",IF(U194-U193=U195,"エラー名前を入力されているが加入月未入力!！",IF(H197&gt;K194,"加入月未入力エラー!！",0)))))</f>
        <v>0</v>
      </c>
      <c r="L192" s="1516"/>
      <c r="M192" s="1516"/>
      <c r="N192" s="1516"/>
      <c r="O192" s="1516"/>
      <c r="P192" s="1516"/>
      <c r="Q192" s="1516"/>
      <c r="R192" s="1516"/>
      <c r="S192" s="1517"/>
      <c r="T192" s="623" t="s">
        <v>47</v>
      </c>
      <c r="U192" s="1605">
        <f>IF(U197&gt;0,"子ども・子育て分",0)</f>
        <v>0</v>
      </c>
      <c r="V192" s="1606"/>
      <c r="W192" s="1419" t="s">
        <v>46</v>
      </c>
      <c r="X192" s="1278"/>
      <c r="Y192" s="1278"/>
      <c r="Z192" s="1279"/>
      <c r="AA192" s="73"/>
      <c r="AB192" s="73"/>
      <c r="AC192" s="504" t="s">
        <v>117</v>
      </c>
      <c r="AD192" s="501" t="str">
        <f>AM203</f>
        <v>OK</v>
      </c>
      <c r="AE192" s="73"/>
      <c r="AF192" s="236" t="s">
        <v>117</v>
      </c>
      <c r="AG192" s="73"/>
      <c r="AH192" s="274">
        <f>IF(K194=0,0,IF(K194&lt;12,1,0))</f>
        <v>0</v>
      </c>
      <c r="AI192" s="175"/>
      <c r="AJ192" s="1541"/>
      <c r="AK192" s="1542"/>
      <c r="AL192" s="1542"/>
      <c r="AM192" s="1543"/>
      <c r="AN192" s="366" t="s">
        <v>51</v>
      </c>
      <c r="AO192" s="1319" t="s">
        <v>220</v>
      </c>
      <c r="AP192" s="1402"/>
      <c r="AQ192" s="1403">
        <f>IF(AR20=0,0,ROUNDDOWN(AR198/AR20,8))</f>
        <v>0</v>
      </c>
      <c r="AR192" s="1404"/>
      <c r="AS192" s="370"/>
      <c r="AT192" s="1319" t="s">
        <v>213</v>
      </c>
      <c r="AU192" s="1402"/>
      <c r="AV192" s="1411">
        <f>IF($AG$2&gt;0,0,AR198-AR197)</f>
        <v>0</v>
      </c>
      <c r="AW192" s="1412"/>
      <c r="AX192" s="318"/>
      <c r="AY192" s="1408" t="s">
        <v>46</v>
      </c>
      <c r="AZ192" s="1402"/>
      <c r="BA192" s="1450" t="str">
        <f>IF(R194+R197=0,0,IF(K195&gt;K194,"期割がアンマッチ使用禁止↓",0))</f>
        <v>期割がアンマッチ使用禁止↓</v>
      </c>
      <c r="BB192" s="1451"/>
      <c r="BC192" s="318"/>
      <c r="BD192" s="1435" t="s">
        <v>46</v>
      </c>
      <c r="BE192" s="1434"/>
      <c r="BF192" s="1436" t="s">
        <v>128</v>
      </c>
      <c r="BG192" s="1437"/>
      <c r="BH192" s="12"/>
      <c r="BI192" s="1253" t="s">
        <v>89</v>
      </c>
      <c r="BJ192" s="1434"/>
      <c r="BK192" s="438"/>
      <c r="BL192" s="439"/>
      <c r="BM192" s="12"/>
      <c r="BN192" s="1253" t="s">
        <v>46</v>
      </c>
      <c r="BO192" s="1434"/>
      <c r="BP192" s="1431"/>
      <c r="BQ192" s="1433"/>
      <c r="BR192" s="446"/>
      <c r="BS192" s="12"/>
      <c r="BT192" s="12"/>
      <c r="BU192" s="74"/>
      <c r="BV192" s="74"/>
      <c r="BW192" s="12"/>
      <c r="BX192" s="4"/>
      <c r="BY192" s="4"/>
      <c r="BZ192" s="4"/>
      <c r="CA192" s="4"/>
      <c r="CB192" s="4"/>
      <c r="CC192" s="4"/>
      <c r="CD192" s="4"/>
      <c r="CE192" s="4"/>
      <c r="CF192" s="583">
        <v>1</v>
      </c>
      <c r="CG192" s="583">
        <f>ROUNDDOWN($CE$188/12*CF192,-2)</f>
        <v>2500</v>
      </c>
      <c r="CH192" s="4"/>
      <c r="CI192" s="13"/>
    </row>
    <row r="193" spans="1:87" ht="18" customHeight="1">
      <c r="A193" s="165"/>
      <c r="B193" s="12"/>
      <c r="C193" s="75" t="s">
        <v>33</v>
      </c>
      <c r="D193" s="12"/>
      <c r="E193" s="12"/>
      <c r="F193" s="1394" t="s">
        <v>432</v>
      </c>
      <c r="G193" s="1394"/>
      <c r="H193" s="1394"/>
      <c r="I193" s="1386">
        <f>IF(I105=1,1,0)</f>
        <v>0</v>
      </c>
      <c r="J193" s="1387"/>
      <c r="K193" s="76" t="s">
        <v>9</v>
      </c>
      <c r="L193" s="12"/>
      <c r="M193" s="1551"/>
      <c r="N193" s="1551"/>
      <c r="O193" s="1551"/>
      <c r="P193" s="1551"/>
      <c r="Q193" s="1551"/>
      <c r="R193" s="1551"/>
      <c r="S193" s="1552"/>
      <c r="T193" s="77" t="s">
        <v>30</v>
      </c>
      <c r="U193" s="78">
        <f>R194+R197</f>
        <v>1</v>
      </c>
      <c r="V193" s="79" t="s">
        <v>6</v>
      </c>
      <c r="W193" s="80" t="s">
        <v>34</v>
      </c>
      <c r="X193" s="29">
        <f>IF($AH$13&gt;0,0,IF($AG$2&gt;0,"限度超過",X182-(X203+X213+X223+X233+X243+X253)))</f>
        <v>0</v>
      </c>
      <c r="Y193" s="80" t="s">
        <v>39</v>
      </c>
      <c r="Z193" s="31">
        <f>IF($AH$13&gt;0,0,IF($AG$2&gt;0,"限度超過",Z182-(Z203+Z213+Z223+Z233+Z243+Z253)))</f>
        <v>0</v>
      </c>
      <c r="AA193" s="26"/>
      <c r="AB193" s="26"/>
      <c r="AC193" s="491"/>
      <c r="AD193" s="26"/>
      <c r="AE193" s="634"/>
      <c r="AF193" s="217">
        <f>AF194+AF197+AF200</f>
        <v>0</v>
      </c>
      <c r="AG193" s="26"/>
      <c r="AH193" s="26"/>
      <c r="AI193" s="173"/>
      <c r="AJ193" s="22" t="s">
        <v>34</v>
      </c>
      <c r="AK193" s="23">
        <f t="shared" ref="AK193:AK198" si="120">IF($AG$2&gt;0,0,X193+X203+X213+X223+X233+X243+X253)</f>
        <v>0</v>
      </c>
      <c r="AL193" s="473" t="s">
        <v>39</v>
      </c>
      <c r="AM193" s="474">
        <f>IF($AG$2&gt;0,0,Z193+Z203+Z213+Z223+Z233+Z243+Z253)</f>
        <v>0</v>
      </c>
      <c r="AN193" s="174"/>
      <c r="AO193" s="126" t="s">
        <v>34</v>
      </c>
      <c r="AP193" s="344">
        <f>ROUND(AP16*AQ192,0)</f>
        <v>0</v>
      </c>
      <c r="AQ193" s="351" t="s">
        <v>39</v>
      </c>
      <c r="AR193" s="345">
        <f>ROUND(AR16*AQ192,0)</f>
        <v>0</v>
      </c>
      <c r="AS193" s="371"/>
      <c r="AT193" s="126" t="s">
        <v>34</v>
      </c>
      <c r="AU193" s="344">
        <f>IF(AV192=0,0,IF(AV192&gt;=10,1,IF(AV192&lt;=-10,-1,0)))</f>
        <v>0</v>
      </c>
      <c r="AV193" s="351" t="s">
        <v>39</v>
      </c>
      <c r="AW193" s="345">
        <f>IF(AV192=0,0,IF(AV192&gt;=4,1,IF(AV192&lt;=-4,-1,0)))</f>
        <v>0</v>
      </c>
      <c r="AX193" s="318"/>
      <c r="AY193" s="258" t="s">
        <v>34</v>
      </c>
      <c r="AZ193" s="372">
        <f>IF($AG$2&gt;0,"限度超過",AP193+AU193)</f>
        <v>0</v>
      </c>
      <c r="BA193" s="319" t="s">
        <v>39</v>
      </c>
      <c r="BB193" s="127">
        <f>IF($AG$2&gt;0,"限度超過",IF($A$176=$L$176,"限度超過",AR193+AW193))</f>
        <v>0</v>
      </c>
      <c r="BC193" s="318"/>
      <c r="BD193" s="447" t="s">
        <v>34</v>
      </c>
      <c r="BE193" s="81">
        <f t="shared" ref="BE193:BE198" si="121">IF($A$176=$L$176,"限度超過",X182-(AZ193+AZ203+AZ213+AZ223+AZ233+AZ243+AZ253))</f>
        <v>0</v>
      </c>
      <c r="BF193" s="80" t="s">
        <v>39</v>
      </c>
      <c r="BG193" s="29">
        <f>IF($A$176=$L$176,"限度超過",Z182-(BB193+BB203+BB213+BB223+BB233+BB243+BB253))</f>
        <v>0</v>
      </c>
      <c r="BH193" s="12"/>
      <c r="BI193" s="80" t="s">
        <v>34</v>
      </c>
      <c r="BJ193" s="29">
        <f t="shared" ref="BJ193:BJ198" si="122">IF($A$176=$L$176,"限度超過",IF(BE193=0,0,BE193/$S$94))</f>
        <v>0</v>
      </c>
      <c r="BK193" s="80" t="s">
        <v>39</v>
      </c>
      <c r="BL193" s="29">
        <f>IF($A$176=$L$176,"限度超過",IF(BG193=0,0,BG193/$S$94))</f>
        <v>0</v>
      </c>
      <c r="BM193" s="12"/>
      <c r="BN193" s="80" t="s">
        <v>34</v>
      </c>
      <c r="BO193" s="29">
        <f t="shared" ref="BO193:BO198" si="123">IF($A$176=$L$176,"限度超過",IF($S$94&lt;=1,BE193,BE193-(BO203+BO213+BO223+BO233+BO243+BO253)))</f>
        <v>0</v>
      </c>
      <c r="BP193" s="80" t="s">
        <v>39</v>
      </c>
      <c r="BQ193" s="29">
        <f>IF($A$176=$L$176,"限度超過",IF($S$94&lt;=1,BG193,BG193-(BQ203+BQ213+BQ223+BQ233+BQ243+BQ253)))</f>
        <v>0</v>
      </c>
      <c r="BR193" s="446"/>
      <c r="BS193" s="12"/>
      <c r="BT193" s="12"/>
      <c r="BU193" s="83"/>
      <c r="BV193" s="83"/>
      <c r="BW193" s="12"/>
      <c r="BX193" s="32"/>
      <c r="BY193" s="33" t="str">
        <f>CE183</f>
        <v>料率</v>
      </c>
      <c r="BZ193" s="33">
        <f>CF183</f>
        <v>7</v>
      </c>
      <c r="CA193" s="33">
        <f>CG183</f>
        <v>5</v>
      </c>
      <c r="CB193" s="33">
        <f>CH183</f>
        <v>2</v>
      </c>
      <c r="CC193" s="576" t="s">
        <v>341</v>
      </c>
      <c r="CD193" s="4"/>
      <c r="CE193" s="74"/>
      <c r="CF193" s="585">
        <v>2</v>
      </c>
      <c r="CG193" s="583">
        <f t="shared" ref="CG193:CG203" si="124">ROUNDDOWN($CE$188/12*CF193,-2)</f>
        <v>5000</v>
      </c>
      <c r="CH193" s="84"/>
      <c r="CI193" s="13"/>
    </row>
    <row r="194" spans="1:87" ht="18" customHeight="1">
      <c r="A194" s="1378" t="s">
        <v>0</v>
      </c>
      <c r="B194" s="1556" t="s">
        <v>129</v>
      </c>
      <c r="C194" s="1382">
        <f>C17</f>
        <v>0</v>
      </c>
      <c r="D194" s="1010" t="s">
        <v>58</v>
      </c>
      <c r="E194" s="1389">
        <f>IF(H197&gt;0,$CE$100, 0)</f>
        <v>0</v>
      </c>
      <c r="F194" s="1395" t="s">
        <v>22</v>
      </c>
      <c r="G194" s="1010" t="s">
        <v>59</v>
      </c>
      <c r="H194" s="85">
        <f>IF(H197&gt;0,$CE$184,0)</f>
        <v>0</v>
      </c>
      <c r="I194" s="1385" t="s">
        <v>22</v>
      </c>
      <c r="J194" s="1010" t="s">
        <v>59</v>
      </c>
      <c r="K194" s="51">
        <f>IF(入力画面!V14&gt;=1,入力画面!W14,入力画面!I15)</f>
        <v>0</v>
      </c>
      <c r="L194" s="52" t="s">
        <v>5</v>
      </c>
      <c r="M194" s="1395"/>
      <c r="N194" s="1527"/>
      <c r="O194" s="636"/>
      <c r="P194" s="1392" t="s">
        <v>14</v>
      </c>
      <c r="Q194" s="1392"/>
      <c r="R194" s="1391">
        <f>ROUNDDOWN(IF(((C194-E194)*H194/H195)*K194/K195&lt;0,0,((C194-E194)*H194/H195)*K194/K195),0)</f>
        <v>0</v>
      </c>
      <c r="S194" s="1520" t="s">
        <v>6</v>
      </c>
      <c r="T194" s="72" t="s">
        <v>1</v>
      </c>
      <c r="U194" s="105">
        <f>T187-(U204+U214+U224+U234+U244+U254)</f>
        <v>0</v>
      </c>
      <c r="V194" s="88" t="s">
        <v>6</v>
      </c>
      <c r="W194" s="30" t="s">
        <v>35</v>
      </c>
      <c r="X194" s="29">
        <f>IF($AH$13&gt;0,0,IF($AG$2&gt;0,"限度超過",X183-(X204+X214+X224+X234+X244+X254)))</f>
        <v>0</v>
      </c>
      <c r="Y194" s="30" t="s">
        <v>40</v>
      </c>
      <c r="Z194" s="31">
        <f>IF($AH$13&gt;0,0,IF($AG$2&gt;0,"限度超過",Z183-(Z204+Z214+Z224+Z234+Z244+Z254)))</f>
        <v>0</v>
      </c>
      <c r="AA194" s="26"/>
      <c r="AB194" s="26"/>
      <c r="AC194" s="491"/>
      <c r="AD194" s="26"/>
      <c r="AE194" s="634"/>
      <c r="AF194" s="1423">
        <f>ROUNDDOWN(IF(((C194-E194)*H194/H195)&lt;0,0,((C194-E194)*H194/H195)),0)</f>
        <v>0</v>
      </c>
      <c r="AG194" s="26"/>
      <c r="AH194" s="26"/>
      <c r="AI194" s="173"/>
      <c r="AJ194" s="28" t="s">
        <v>35</v>
      </c>
      <c r="AK194" s="29">
        <f t="shared" si="120"/>
        <v>0</v>
      </c>
      <c r="AL194" s="475" t="s">
        <v>40</v>
      </c>
      <c r="AM194" s="476">
        <f>IF($AG$2&gt;0,0,Z194+Z204+Z214+Z224+Z234+Z244+Z254)</f>
        <v>0</v>
      </c>
      <c r="AN194" s="175"/>
      <c r="AO194" s="126" t="s">
        <v>35</v>
      </c>
      <c r="AP194" s="344">
        <f>ROUND(AP17*AQ192,0)</f>
        <v>0</v>
      </c>
      <c r="AQ194" s="351" t="s">
        <v>40</v>
      </c>
      <c r="AR194" s="345">
        <f>ROUND(AR17*AQ192,0)</f>
        <v>0</v>
      </c>
      <c r="AS194" s="371"/>
      <c r="AT194" s="126" t="s">
        <v>35</v>
      </c>
      <c r="AU194" s="344">
        <f>IF(AV192=0,0,IF(AV192&gt;=9,1,IF(AV192&lt;=-9,-1,0)))</f>
        <v>0</v>
      </c>
      <c r="AV194" s="351" t="s">
        <v>40</v>
      </c>
      <c r="AW194" s="345">
        <f>IF(AV192=0,0,IF(AV192&gt;=3,1,IF(AV192&lt;=-3,-1,0)))</f>
        <v>0</v>
      </c>
      <c r="AX194" s="318"/>
      <c r="AY194" s="262" t="s">
        <v>35</v>
      </c>
      <c r="AZ194" s="372">
        <f t="shared" ref="AZ194:AZ198" si="125">IF($AG$2&gt;0,"限度超過",IF($A$176=$L$176,"限度超過",AP194+AU194))</f>
        <v>0</v>
      </c>
      <c r="BA194" s="319" t="s">
        <v>40</v>
      </c>
      <c r="BB194" s="127">
        <f t="shared" ref="BB194:BB196" si="126">IF($AG$2&gt;0,"限度超過",IF($A$176=$L$176,"限度超過",AR194+AW194))</f>
        <v>0</v>
      </c>
      <c r="BC194" s="318"/>
      <c r="BD194" s="448" t="s">
        <v>35</v>
      </c>
      <c r="BE194" s="81">
        <f t="shared" si="121"/>
        <v>0</v>
      </c>
      <c r="BF194" s="30" t="s">
        <v>40</v>
      </c>
      <c r="BG194" s="29">
        <f>IF($A$176=$L$176,"限度超過",Z183-(BB194+BB204+BB214+BB224+BB234+BB244+BB254))</f>
        <v>0</v>
      </c>
      <c r="BH194" s="12"/>
      <c r="BI194" s="30" t="s">
        <v>35</v>
      </c>
      <c r="BJ194" s="29">
        <f t="shared" si="122"/>
        <v>0</v>
      </c>
      <c r="BK194" s="30" t="s">
        <v>40</v>
      </c>
      <c r="BL194" s="29">
        <f>IF($A$176=$L$176,"限度超過",IF(BG194=0,0,BG194/$S$94))</f>
        <v>0</v>
      </c>
      <c r="BM194" s="12"/>
      <c r="BN194" s="30" t="s">
        <v>35</v>
      </c>
      <c r="BO194" s="29">
        <f t="shared" si="123"/>
        <v>0</v>
      </c>
      <c r="BP194" s="30" t="s">
        <v>40</v>
      </c>
      <c r="BQ194" s="29">
        <f>IF($A$176=$L$176,"限度超過",IF($S$94&lt;=1,BG194,BG194-(BQ204+BQ214+BQ224+BQ234+BQ244+BQ254)))</f>
        <v>0</v>
      </c>
      <c r="BR194" s="446"/>
      <c r="BS194" s="12"/>
      <c r="BT194" s="12"/>
      <c r="BU194" s="83"/>
      <c r="BV194" s="83"/>
      <c r="BW194" s="12"/>
      <c r="BX194" s="32" t="s">
        <v>17</v>
      </c>
      <c r="BY194" s="44">
        <v>0</v>
      </c>
      <c r="BZ194" s="45">
        <f>$CF$185+$CF$186</f>
        <v>700</v>
      </c>
      <c r="CA194" s="45">
        <f>$CG$185+$CG$186</f>
        <v>500</v>
      </c>
      <c r="CB194" s="45">
        <f>$CH$185+$CH$186</f>
        <v>200</v>
      </c>
      <c r="CC194" s="576"/>
      <c r="CD194" s="4"/>
      <c r="CE194" s="89"/>
      <c r="CF194" s="583">
        <v>3</v>
      </c>
      <c r="CG194" s="583">
        <f t="shared" si="124"/>
        <v>7500</v>
      </c>
      <c r="CH194" s="4"/>
      <c r="CI194" s="13"/>
    </row>
    <row r="195" spans="1:87" ht="18" customHeight="1">
      <c r="A195" s="1378"/>
      <c r="B195" s="1556"/>
      <c r="C195" s="1382"/>
      <c r="D195" s="1010"/>
      <c r="E195" s="1389"/>
      <c r="F195" s="1395"/>
      <c r="G195" s="1010"/>
      <c r="H195" s="619">
        <v>100</v>
      </c>
      <c r="I195" s="1385"/>
      <c r="J195" s="1010"/>
      <c r="K195" s="55">
        <v>12</v>
      </c>
      <c r="L195" s="12" t="s">
        <v>5</v>
      </c>
      <c r="M195" s="1395"/>
      <c r="N195" s="1527"/>
      <c r="O195" s="636"/>
      <c r="P195" s="1392"/>
      <c r="Q195" s="1392"/>
      <c r="R195" s="1391"/>
      <c r="S195" s="1520"/>
      <c r="T195" s="72" t="s">
        <v>29</v>
      </c>
      <c r="U195" s="87">
        <f>U193+U194</f>
        <v>1</v>
      </c>
      <c r="V195" s="88" t="s">
        <v>6</v>
      </c>
      <c r="W195" s="30" t="s">
        <v>36</v>
      </c>
      <c r="X195" s="29">
        <f t="shared" ref="X195:X198" si="127">IF($AH$13&gt;0,0,IF($AG$2&gt;0,"限度超過",X184-(X205+X215+X225+X235+X245+X255)))</f>
        <v>0</v>
      </c>
      <c r="Y195" s="30" t="s">
        <v>41</v>
      </c>
      <c r="Z195" s="31">
        <f>IF($AH$13&gt;0,0,IF($AG$2&gt;0,"限度超過",Z184-(Z205+Z215+Z225+Z235+Z245+Z255)))</f>
        <v>0</v>
      </c>
      <c r="AA195" s="26"/>
      <c r="AB195" s="26"/>
      <c r="AC195" s="491"/>
      <c r="AD195" s="26"/>
      <c r="AE195" s="634"/>
      <c r="AF195" s="1424"/>
      <c r="AG195" s="26"/>
      <c r="AH195" s="26"/>
      <c r="AI195" s="173"/>
      <c r="AJ195" s="28" t="s">
        <v>36</v>
      </c>
      <c r="AK195" s="29">
        <f t="shared" si="120"/>
        <v>0</v>
      </c>
      <c r="AL195" s="475" t="s">
        <v>41</v>
      </c>
      <c r="AM195" s="476">
        <f>IF($AG$2&gt;0,0,Z195+Z205+Z215+Z225+Z235+Z245+Z255)</f>
        <v>0</v>
      </c>
      <c r="AN195" s="173"/>
      <c r="AO195" s="126" t="s">
        <v>36</v>
      </c>
      <c r="AP195" s="344">
        <f>ROUND(AP18*AQ192,0)</f>
        <v>0</v>
      </c>
      <c r="AQ195" s="351" t="s">
        <v>41</v>
      </c>
      <c r="AR195" s="345">
        <f>ROUND(AR18*AQ192,0)</f>
        <v>0</v>
      </c>
      <c r="AS195" s="350"/>
      <c r="AT195" s="126" t="s">
        <v>36</v>
      </c>
      <c r="AU195" s="344">
        <f>IF(AV192=0,0,IF(AV192&gt;=8,1,IF(AV192&lt;=-8,-1,0)))</f>
        <v>0</v>
      </c>
      <c r="AV195" s="351" t="s">
        <v>41</v>
      </c>
      <c r="AW195" s="345">
        <f>IF(AV192=0,0,IF(AV192&gt;=2,1,IF(AV192&lt;=-2,-1,0)))</f>
        <v>0</v>
      </c>
      <c r="AX195" s="318"/>
      <c r="AY195" s="262" t="s">
        <v>36</v>
      </c>
      <c r="AZ195" s="372">
        <f t="shared" si="125"/>
        <v>0</v>
      </c>
      <c r="BA195" s="319" t="s">
        <v>41</v>
      </c>
      <c r="BB195" s="127">
        <f t="shared" si="126"/>
        <v>0</v>
      </c>
      <c r="BC195" s="318"/>
      <c r="BD195" s="448" t="s">
        <v>36</v>
      </c>
      <c r="BE195" s="81">
        <f t="shared" si="121"/>
        <v>0</v>
      </c>
      <c r="BF195" s="30" t="s">
        <v>41</v>
      </c>
      <c r="BG195" s="29">
        <f>IF($A$176=$L$176,"限度超過",Z184-(BB195+BB205+BB215+BB225+BB235+BB245+BB255))</f>
        <v>0</v>
      </c>
      <c r="BH195" s="12"/>
      <c r="BI195" s="30" t="s">
        <v>36</v>
      </c>
      <c r="BJ195" s="29">
        <f t="shared" si="122"/>
        <v>0</v>
      </c>
      <c r="BK195" s="30" t="s">
        <v>41</v>
      </c>
      <c r="BL195" s="29">
        <f>IF($A$176=$L$176,"限度超過",IF(BG195=0,0,BG195/$S$94))</f>
        <v>0</v>
      </c>
      <c r="BM195" s="12"/>
      <c r="BN195" s="30" t="s">
        <v>36</v>
      </c>
      <c r="BO195" s="29">
        <f t="shared" si="123"/>
        <v>0</v>
      </c>
      <c r="BP195" s="30" t="s">
        <v>41</v>
      </c>
      <c r="BQ195" s="29">
        <f>IF($A$176=$L$176,"限度超過",IF($S$94&lt;=1,BG195,BG195-(BQ205+BQ215+BQ225+BQ235+BQ245+BQ255)))</f>
        <v>0</v>
      </c>
      <c r="BR195" s="446"/>
      <c r="BS195" s="12"/>
      <c r="BT195" s="12"/>
      <c r="BU195" s="83"/>
      <c r="BV195" s="83"/>
      <c r="BW195" s="12"/>
      <c r="BX195" s="32" t="s">
        <v>8</v>
      </c>
      <c r="BY195" s="45">
        <f>K197</f>
        <v>0</v>
      </c>
      <c r="BZ195" s="45">
        <f t="shared" ref="BZ195:BZ197" si="128">BY195</f>
        <v>0</v>
      </c>
      <c r="CA195" s="45">
        <f t="shared" ref="CA195:CA197" si="129">BZ195</f>
        <v>0</v>
      </c>
      <c r="CB195" s="45">
        <f t="shared" ref="CB195:CB197" si="130">CA195</f>
        <v>0</v>
      </c>
      <c r="CC195" s="576">
        <f>CB195</f>
        <v>0</v>
      </c>
      <c r="CD195" s="4"/>
      <c r="CE195" s="90"/>
      <c r="CF195" s="584">
        <v>4</v>
      </c>
      <c r="CG195" s="583">
        <f t="shared" si="124"/>
        <v>10000</v>
      </c>
      <c r="CH195" s="26"/>
      <c r="CI195" s="13"/>
    </row>
    <row r="196" spans="1:87" ht="18" customHeight="1">
      <c r="A196" s="165"/>
      <c r="B196" s="12"/>
      <c r="C196" s="620"/>
      <c r="D196" s="12"/>
      <c r="E196" s="12"/>
      <c r="F196" s="12"/>
      <c r="G196" s="12"/>
      <c r="H196" s="91"/>
      <c r="I196" s="75"/>
      <c r="J196" s="75"/>
      <c r="K196" s="92"/>
      <c r="L196" s="75"/>
      <c r="M196" s="93"/>
      <c r="N196" s="578">
        <f>IF(入力画面!E110=1,"未就学児",0)</f>
        <v>0</v>
      </c>
      <c r="O196" s="42">
        <f>IF(H197=0,0,$D$94)</f>
        <v>0</v>
      </c>
      <c r="P196" s="463">
        <f>IF(O197=0,0,"軽減額")</f>
        <v>0</v>
      </c>
      <c r="Q196" s="12"/>
      <c r="R196" s="95"/>
      <c r="S196" s="641"/>
      <c r="T196" s="96" t="s">
        <v>31</v>
      </c>
      <c r="U196" s="87">
        <f>ROUNDDOWN(U195,-2)</f>
        <v>0</v>
      </c>
      <c r="V196" s="88" t="s">
        <v>6</v>
      </c>
      <c r="W196" s="30" t="s">
        <v>43</v>
      </c>
      <c r="X196" s="29">
        <f t="shared" si="127"/>
        <v>0</v>
      </c>
      <c r="Y196" s="30" t="s">
        <v>42</v>
      </c>
      <c r="Z196" s="31">
        <f>IF($AH$13&gt;0,0,IF($AG$2&gt;0,"限度超過",Z185-(Z206+Z216+Z226+Z236+Z246+Z256)))</f>
        <v>0</v>
      </c>
      <c r="AA196" s="26"/>
      <c r="AB196" s="26"/>
      <c r="AC196" s="491"/>
      <c r="AD196" s="26"/>
      <c r="AE196" s="497" t="str">
        <f>IF($AH$13&gt;0,"－",IF($AG$2&gt;0,"限度超過",IF(U197=Z197,"OK","ｱﾝﾏｯﾁ")))</f>
        <v>OK</v>
      </c>
      <c r="AF196" s="496"/>
      <c r="AG196" s="26"/>
      <c r="AI196" s="173"/>
      <c r="AJ196" s="28" t="s">
        <v>43</v>
      </c>
      <c r="AK196" s="29">
        <f t="shared" si="120"/>
        <v>0</v>
      </c>
      <c r="AL196" s="475" t="s">
        <v>42</v>
      </c>
      <c r="AM196" s="476">
        <f>IF($AG$2&gt;0,0,Z196+Z206+Z216+Z226+Z236+Z246+Z256)</f>
        <v>0</v>
      </c>
      <c r="AN196" s="173"/>
      <c r="AO196" s="126" t="s">
        <v>43</v>
      </c>
      <c r="AP196" s="344">
        <f>ROUND(AP19*AQ192,0)</f>
        <v>0</v>
      </c>
      <c r="AQ196" s="351" t="s">
        <v>42</v>
      </c>
      <c r="AR196" s="345">
        <f>ROUND(AR19*AQ192,0)</f>
        <v>0</v>
      </c>
      <c r="AS196" s="350"/>
      <c r="AT196" s="126" t="s">
        <v>43</v>
      </c>
      <c r="AU196" s="344">
        <f>IF(AV192=0,0,IF(AV192&gt;=7,1,IF(AV192&lt;=-7,-1,0)))</f>
        <v>0</v>
      </c>
      <c r="AV196" s="351" t="s">
        <v>42</v>
      </c>
      <c r="AW196" s="345">
        <f>IF(AV192=0,0,IF(AV192&gt;=1,1,IF(AV192&lt;=-1,-1,0)))</f>
        <v>0</v>
      </c>
      <c r="AX196" s="318"/>
      <c r="AY196" s="262" t="s">
        <v>43</v>
      </c>
      <c r="AZ196" s="372">
        <f t="shared" si="125"/>
        <v>0</v>
      </c>
      <c r="BA196" s="319" t="s">
        <v>42</v>
      </c>
      <c r="BB196" s="127">
        <f t="shared" si="126"/>
        <v>0</v>
      </c>
      <c r="BC196" s="318"/>
      <c r="BD196" s="448" t="s">
        <v>43</v>
      </c>
      <c r="BE196" s="81">
        <f t="shared" si="121"/>
        <v>0</v>
      </c>
      <c r="BF196" s="30" t="s">
        <v>42</v>
      </c>
      <c r="BG196" s="29">
        <f>IF($A$176=$L$176,"限度超過",Z185-(BB196+BB206+BB216+BB226+BB236+BB246+BB256))</f>
        <v>0</v>
      </c>
      <c r="BH196" s="12"/>
      <c r="BI196" s="30" t="s">
        <v>43</v>
      </c>
      <c r="BJ196" s="29">
        <f t="shared" si="122"/>
        <v>0</v>
      </c>
      <c r="BK196" s="30" t="s">
        <v>42</v>
      </c>
      <c r="BL196" s="29">
        <f>IF($A$176=$L$176,"限度超過",IF(BG196=0,0,BG196/$S$94))</f>
        <v>0</v>
      </c>
      <c r="BM196" s="12"/>
      <c r="BN196" s="30" t="s">
        <v>43</v>
      </c>
      <c r="BO196" s="29">
        <f t="shared" si="123"/>
        <v>0</v>
      </c>
      <c r="BP196" s="30" t="s">
        <v>42</v>
      </c>
      <c r="BQ196" s="29">
        <f>IF($A$176=$L$176,"限度超過",IF($S$94&lt;=1,BG196,BG196-(BQ206+BQ216+BQ226+BQ236+BQ246+BQ256)))</f>
        <v>0</v>
      </c>
      <c r="BR196" s="446"/>
      <c r="BS196" s="12"/>
      <c r="BT196" s="12"/>
      <c r="BU196" s="83"/>
      <c r="BV196" s="83"/>
      <c r="BW196" s="12"/>
      <c r="BX196" s="32" t="s">
        <v>25</v>
      </c>
      <c r="BY196" s="45">
        <f>K198</f>
        <v>0</v>
      </c>
      <c r="BZ196" s="45">
        <f t="shared" si="128"/>
        <v>0</v>
      </c>
      <c r="CA196" s="45">
        <f t="shared" si="129"/>
        <v>0</v>
      </c>
      <c r="CB196" s="45">
        <f t="shared" si="130"/>
        <v>0</v>
      </c>
      <c r="CC196" s="576">
        <f>CB196</f>
        <v>0</v>
      </c>
      <c r="CD196" s="4"/>
      <c r="CE196" s="90"/>
      <c r="CF196" s="584">
        <v>5</v>
      </c>
      <c r="CG196" s="583">
        <f t="shared" si="124"/>
        <v>12500</v>
      </c>
      <c r="CH196" s="26"/>
      <c r="CI196" s="13"/>
    </row>
    <row r="197" spans="1:87" ht="18" customHeight="1">
      <c r="A197" s="1378" t="s">
        <v>10</v>
      </c>
      <c r="B197" s="12"/>
      <c r="C197" s="12"/>
      <c r="D197" s="1379" t="s">
        <v>7</v>
      </c>
      <c r="E197" s="1389">
        <f>IF(H197&gt;0,$CE$185+$CE$186,0)</f>
        <v>0</v>
      </c>
      <c r="F197" s="97"/>
      <c r="G197" s="1010" t="s">
        <v>59</v>
      </c>
      <c r="H197" s="1390">
        <f>IF(B192=0,0,SUBTOTAL(3,B192))</f>
        <v>0</v>
      </c>
      <c r="I197" s="1385" t="s">
        <v>22</v>
      </c>
      <c r="J197" s="1010" t="s">
        <v>59</v>
      </c>
      <c r="K197" s="51">
        <f>IF(H197&gt;0,K194,0)</f>
        <v>0</v>
      </c>
      <c r="L197" s="52" t="s">
        <v>5</v>
      </c>
      <c r="M197" s="1527" t="s">
        <v>122</v>
      </c>
      <c r="N197" s="1548">
        <f>IF(O197=0,0,"―")</f>
        <v>0</v>
      </c>
      <c r="O197" s="1525">
        <f>IF(H197=0,0,IF(BY199=0,IF($D$94=7,BZ198,IF($D$94=5,CA198,IF($D$94=2,CB198,CC198))),IF($D$94=7,BZ198+BZ199,IF($D$94=5,CA198+CA199,IF($D$94=2,CB198+CB199,CC198+CC199)))))</f>
        <v>0</v>
      </c>
      <c r="P197" s="1525"/>
      <c r="Q197" s="1392" t="s">
        <v>14</v>
      </c>
      <c r="R197" s="1391">
        <f>IF(H197&gt;0,IF(K194=0,0,ROUNDDOWN(((E197*H197)*K197/K198)-O197,0)),0)+1</f>
        <v>1</v>
      </c>
      <c r="S197" s="1520" t="s">
        <v>6</v>
      </c>
      <c r="T197" s="1321" t="s">
        <v>32</v>
      </c>
      <c r="U197" s="1323">
        <f>IF(L264=A264,"限度超過!",L264-U207-U217-U227-U237-U247-U257)</f>
        <v>0</v>
      </c>
      <c r="V197" s="1509" t="s">
        <v>6</v>
      </c>
      <c r="W197" s="30" t="s">
        <v>37</v>
      </c>
      <c r="X197" s="29">
        <f t="shared" si="127"/>
        <v>0</v>
      </c>
      <c r="Y197" s="1313" t="s">
        <v>44</v>
      </c>
      <c r="Z197" s="1420">
        <f>IF($AH$13&gt;0,0,IF($AG$2&gt;0,"限度超過",Z186-(Z207+Z217+Z227+Z237+Z247+Z257)))</f>
        <v>0</v>
      </c>
      <c r="AA197" s="26"/>
      <c r="AB197" s="26"/>
      <c r="AC197" s="491"/>
      <c r="AD197" s="26"/>
      <c r="AE197" s="497" t="str">
        <f>IF($AG$2&gt;0,"限度超過",IF(X193+X194+X195+X196+X197+X198+Z193+Z194+Z195+Z196=Z197,"OK","エラー"))</f>
        <v>OK</v>
      </c>
      <c r="AF197" s="1508">
        <f>IF(H197&gt;0,IF(K194=0,0,ROUNDDOWN((E197*H197)-O197,0)),0)</f>
        <v>0</v>
      </c>
      <c r="AG197" s="26"/>
      <c r="AI197" s="173"/>
      <c r="AJ197" s="28" t="s">
        <v>37</v>
      </c>
      <c r="AK197" s="29">
        <f t="shared" si="120"/>
        <v>0</v>
      </c>
      <c r="AL197" s="1599" t="s">
        <v>44</v>
      </c>
      <c r="AM197" s="1601">
        <f>AK193+AK194+AK195+AK196+AK197+AK198+AM193+AM194+AM195+AM196</f>
        <v>0</v>
      </c>
      <c r="AN197" s="173"/>
      <c r="AO197" s="126" t="s">
        <v>37</v>
      </c>
      <c r="AP197" s="344">
        <f>ROUND(AP20*AQ192,0)</f>
        <v>0</v>
      </c>
      <c r="AQ197" s="352" t="s">
        <v>44</v>
      </c>
      <c r="AR197" s="346">
        <f>AP193+AP194+AP195+AP196+AP197+AP198+AR193+AR194+AR195+AR196</f>
        <v>0</v>
      </c>
      <c r="AS197" s="350"/>
      <c r="AT197" s="126" t="s">
        <v>37</v>
      </c>
      <c r="AU197" s="344">
        <f>IF(AV192=0,0,IF(AV192&gt;=6,1,IF(AV192&lt;=-6,-1,0)))</f>
        <v>0</v>
      </c>
      <c r="AV197" s="352" t="s">
        <v>44</v>
      </c>
      <c r="AW197" s="353">
        <f>AU193+AU194+AU195+AU196+AU197+AU198+AW193+AW194+AW195+AW196</f>
        <v>0</v>
      </c>
      <c r="AX197" s="318"/>
      <c r="AY197" s="262" t="s">
        <v>37</v>
      </c>
      <c r="AZ197" s="372">
        <f t="shared" si="125"/>
        <v>0</v>
      </c>
      <c r="BA197" s="320" t="s">
        <v>44</v>
      </c>
      <c r="BB197" s="417">
        <f>IF($AG$2&gt;0,"限度超過",AZ193+AZ194+AZ195+AZ196+AZ197+AZ198+BB193+BB194+BB195+BB196)</f>
        <v>0</v>
      </c>
      <c r="BC197" s="318"/>
      <c r="BD197" s="448" t="s">
        <v>37</v>
      </c>
      <c r="BE197" s="81">
        <f t="shared" si="121"/>
        <v>0</v>
      </c>
      <c r="BF197" s="98" t="s">
        <v>44</v>
      </c>
      <c r="BG197" s="29">
        <f>IF($A$176=$L$176,"限度超過",BE193+BE194+BE195+BE196+BE197+BE198+BG193+BG194+BG195+BG196)</f>
        <v>0</v>
      </c>
      <c r="BH197" s="12"/>
      <c r="BI197" s="30" t="s">
        <v>37</v>
      </c>
      <c r="BJ197" s="29">
        <f t="shared" si="122"/>
        <v>0</v>
      </c>
      <c r="BK197" s="98" t="s">
        <v>44</v>
      </c>
      <c r="BL197" s="29">
        <f>IF($A$176=$L$176,"限度超過",BJ193+BJ194+BJ195+BJ196+BJ197+BJ198+BL193+BL194+BL195+BL196)</f>
        <v>0</v>
      </c>
      <c r="BM197" s="12"/>
      <c r="BN197" s="30" t="s">
        <v>37</v>
      </c>
      <c r="BO197" s="29">
        <f t="shared" si="123"/>
        <v>0</v>
      </c>
      <c r="BP197" s="98" t="s">
        <v>44</v>
      </c>
      <c r="BQ197" s="29">
        <f>IF($A$176=$L$176,"限度超過",BO193+BO194+BO195+BO196+BO197+BO198+BQ193+BQ194+BQ195+BQ196)</f>
        <v>0</v>
      </c>
      <c r="BR197" s="446"/>
      <c r="BS197" s="12"/>
      <c r="BT197" s="12"/>
      <c r="BU197" s="83"/>
      <c r="BV197" s="83"/>
      <c r="BW197" s="12"/>
      <c r="BX197" s="32" t="s">
        <v>26</v>
      </c>
      <c r="BY197" s="26">
        <f>H197</f>
        <v>0</v>
      </c>
      <c r="BZ197" s="99">
        <f t="shared" si="128"/>
        <v>0</v>
      </c>
      <c r="CA197" s="99">
        <f t="shared" si="129"/>
        <v>0</v>
      </c>
      <c r="CB197" s="99">
        <f t="shared" si="130"/>
        <v>0</v>
      </c>
      <c r="CC197" s="576">
        <f>CB197</f>
        <v>0</v>
      </c>
      <c r="CD197" s="4"/>
      <c r="CE197" s="90"/>
      <c r="CF197" s="583">
        <v>6</v>
      </c>
      <c r="CG197" s="583">
        <f t="shared" si="124"/>
        <v>15000</v>
      </c>
      <c r="CH197" s="4"/>
      <c r="CI197" s="13"/>
    </row>
    <row r="198" spans="1:87" ht="18" customHeight="1">
      <c r="A198" s="1378"/>
      <c r="B198" s="12"/>
      <c r="C198" s="12"/>
      <c r="D198" s="1379"/>
      <c r="E198" s="1389"/>
      <c r="F198" s="12"/>
      <c r="G198" s="1010"/>
      <c r="H198" s="1390"/>
      <c r="I198" s="1385"/>
      <c r="J198" s="1010"/>
      <c r="K198" s="180">
        <f>IF(H197&gt;0,K195,0)</f>
        <v>0</v>
      </c>
      <c r="L198" s="12" t="s">
        <v>5</v>
      </c>
      <c r="M198" s="1527"/>
      <c r="N198" s="1548"/>
      <c r="O198" s="1525"/>
      <c r="P198" s="1525"/>
      <c r="Q198" s="1392"/>
      <c r="R198" s="1391"/>
      <c r="S198" s="1520"/>
      <c r="T198" s="1582"/>
      <c r="U198" s="1363"/>
      <c r="V198" s="1510"/>
      <c r="W198" s="30" t="s">
        <v>38</v>
      </c>
      <c r="X198" s="29">
        <f t="shared" si="127"/>
        <v>0</v>
      </c>
      <c r="Y198" s="1422"/>
      <c r="Z198" s="1421"/>
      <c r="AA198" s="4"/>
      <c r="AB198" s="4"/>
      <c r="AC198" s="489"/>
      <c r="AD198" s="4"/>
      <c r="AE198" s="74"/>
      <c r="AF198" s="1559"/>
      <c r="AG198" s="4"/>
      <c r="AH198" s="4"/>
      <c r="AI198" s="174"/>
      <c r="AJ198" s="65" t="s">
        <v>38</v>
      </c>
      <c r="AK198" s="66">
        <f t="shared" si="120"/>
        <v>0</v>
      </c>
      <c r="AL198" s="1600"/>
      <c r="AM198" s="1602"/>
      <c r="AN198" s="173"/>
      <c r="AO198" s="126" t="s">
        <v>38</v>
      </c>
      <c r="AP198" s="344">
        <f>ROUND(AP21*AQ192,0)</f>
        <v>0</v>
      </c>
      <c r="AQ198" s="351" t="s">
        <v>75</v>
      </c>
      <c r="AR198" s="330">
        <f>IF($AG$2&gt;0,"限度超過",U197)</f>
        <v>0</v>
      </c>
      <c r="AS198" s="347"/>
      <c r="AT198" s="126" t="s">
        <v>38</v>
      </c>
      <c r="AU198" s="344">
        <f>IF(AV192=0,0,IF(AV192&gt;=5,1,IF(AV192&lt;=-5,-1,0)))</f>
        <v>0</v>
      </c>
      <c r="AV198" s="351"/>
      <c r="AW198" s="354" t="str">
        <f>IF(AU193+AU194+AU195+AU196+AU197+AU198+AW193+AW194+AW195+AW196=AV192,"計算ＯＫ","エラー発生")</f>
        <v>計算ＯＫ</v>
      </c>
      <c r="AX198" s="318"/>
      <c r="AY198" s="262" t="s">
        <v>38</v>
      </c>
      <c r="AZ198" s="372">
        <f t="shared" si="125"/>
        <v>0</v>
      </c>
      <c r="BA198" s="319"/>
      <c r="BB198" s="418">
        <f>IF($AG$2&gt;0,"限度超過",IF($A$264=$L$264,"限度超過",$U$197))</f>
        <v>0</v>
      </c>
      <c r="BC198" s="318"/>
      <c r="BD198" s="448" t="s">
        <v>38</v>
      </c>
      <c r="BE198" s="81">
        <f t="shared" si="121"/>
        <v>0</v>
      </c>
      <c r="BF198" s="30"/>
      <c r="BG198" s="100"/>
      <c r="BH198" s="12"/>
      <c r="BI198" s="30" t="s">
        <v>38</v>
      </c>
      <c r="BJ198" s="29">
        <f t="shared" si="122"/>
        <v>0</v>
      </c>
      <c r="BK198" s="30"/>
      <c r="BL198" s="100"/>
      <c r="BM198" s="12"/>
      <c r="BN198" s="30" t="s">
        <v>38</v>
      </c>
      <c r="BO198" s="29">
        <f t="shared" si="123"/>
        <v>0</v>
      </c>
      <c r="BP198" s="30"/>
      <c r="BQ198" s="100"/>
      <c r="BR198" s="446"/>
      <c r="BS198" s="12"/>
      <c r="BT198" s="12"/>
      <c r="BU198" s="4"/>
      <c r="BV198" s="4"/>
      <c r="BW198" s="12"/>
      <c r="BX198" s="67" t="s">
        <v>27</v>
      </c>
      <c r="BY198" s="45">
        <f>IF(BY197&gt;0,ROUNDDOWN(BY194*BY197*BY195/BY196,0),0)</f>
        <v>0</v>
      </c>
      <c r="BZ198" s="45">
        <f>IF(BZ197&gt;0,ROUNDDOWN(BZ194*BZ197*BZ195/BZ196,0),0)</f>
        <v>0</v>
      </c>
      <c r="CA198" s="45">
        <f>IF(CA197&gt;0,ROUNDDOWN(CA194*CA197*CA195/CA196,0),0)</f>
        <v>0</v>
      </c>
      <c r="CB198" s="45">
        <f>IF(CB197&gt;0,ROUNDDOWN(CB194*CB197*CB195/CB196,0),0)</f>
        <v>0</v>
      </c>
      <c r="CC198" s="576">
        <v>0</v>
      </c>
      <c r="CD198" s="74"/>
      <c r="CE198" s="90"/>
      <c r="CF198" s="583">
        <v>7</v>
      </c>
      <c r="CG198" s="583">
        <f t="shared" si="124"/>
        <v>17500</v>
      </c>
      <c r="CH198" s="4"/>
      <c r="CI198" s="13"/>
    </row>
    <row r="199" spans="1:87" ht="18" customHeight="1">
      <c r="A199" s="626"/>
      <c r="B199" s="75" t="s">
        <v>118</v>
      </c>
      <c r="C199" s="12"/>
      <c r="D199" s="629"/>
      <c r="E199" s="630"/>
      <c r="F199" s="12"/>
      <c r="G199" s="620"/>
      <c r="H199" s="632"/>
      <c r="I199" s="633"/>
      <c r="J199" s="620"/>
      <c r="K199" s="1523" t="s">
        <v>271</v>
      </c>
      <c r="L199" s="1523"/>
      <c r="M199" s="1523"/>
      <c r="N199" s="1523"/>
      <c r="O199" s="1523"/>
      <c r="P199" s="1523"/>
      <c r="Q199" s="628"/>
      <c r="R199" s="637"/>
      <c r="S199" s="641"/>
      <c r="T199" s="620"/>
      <c r="U199" s="1511" t="s">
        <v>272</v>
      </c>
      <c r="V199" s="1511"/>
      <c r="W199" s="1511"/>
      <c r="X199" s="1511"/>
      <c r="Y199" s="1511"/>
      <c r="Z199" s="185"/>
      <c r="AB199" s="4"/>
      <c r="AC199" s="489"/>
      <c r="AD199" s="4"/>
      <c r="AE199" s="74"/>
      <c r="AF199" s="234"/>
      <c r="AG199" s="232"/>
      <c r="AH199" s="4"/>
      <c r="AI199" s="174"/>
      <c r="AJ199" s="22" t="s">
        <v>34</v>
      </c>
      <c r="AK199" s="477" t="str">
        <f t="shared" ref="AK199:AK204" si="131">IF(X182=AK193,"OK","エラー")</f>
        <v>OK</v>
      </c>
      <c r="AL199" s="24" t="s">
        <v>39</v>
      </c>
      <c r="AM199" s="478" t="str">
        <f>IF(Z182=AM193,"OK","エラー")</f>
        <v>OK</v>
      </c>
      <c r="AN199" s="173"/>
      <c r="AO199" s="348"/>
      <c r="AP199" s="348"/>
      <c r="AQ199" s="349"/>
      <c r="AR199" s="349"/>
      <c r="AS199" s="347"/>
      <c r="AT199" s="347"/>
      <c r="AU199" s="347"/>
      <c r="AV199" s="347"/>
      <c r="AW199" s="347"/>
      <c r="AX199" s="318"/>
      <c r="AY199" s="419"/>
      <c r="AZ199" s="348"/>
      <c r="BA199" s="349"/>
      <c r="BB199" s="464" t="str">
        <f>IF(BB197=BB198,"OK","エラー")</f>
        <v>OK</v>
      </c>
      <c r="BC199" s="318"/>
      <c r="BD199" s="449"/>
      <c r="BF199" s="4" t="s">
        <v>206</v>
      </c>
      <c r="BH199" s="12"/>
      <c r="BM199" s="12"/>
      <c r="BR199" s="446"/>
      <c r="BS199" s="12"/>
      <c r="BT199" s="12"/>
      <c r="BU199" s="12"/>
      <c r="BV199" s="12"/>
      <c r="BW199" s="12"/>
      <c r="BX199" s="32" t="s">
        <v>340</v>
      </c>
      <c r="BY199" s="576">
        <f>IF(入力画面!E12=1,1,0)</f>
        <v>0</v>
      </c>
      <c r="BZ199" s="576">
        <f>IF($BY$199=1,ROUNDDOWN($CF$190*BZ195/BZ196,0),0)</f>
        <v>0</v>
      </c>
      <c r="CA199" s="576">
        <f>IF($BY$199=1,ROUNDDOWN($CG$190*CA195/CA196,0),0)</f>
        <v>0</v>
      </c>
      <c r="CB199" s="576">
        <f>IF($BY$199=1,ROUNDDOWN($CH$190*CB195/CB196,0),0)</f>
        <v>0</v>
      </c>
      <c r="CC199" s="576">
        <f>IF($BY$199=1,ROUNDDOWN($CE$190*CC195/CC196,0),0)</f>
        <v>0</v>
      </c>
      <c r="CD199" s="4"/>
      <c r="CE199" s="4"/>
      <c r="CF199" s="583">
        <v>8</v>
      </c>
      <c r="CG199" s="583">
        <f t="shared" si="124"/>
        <v>20000</v>
      </c>
      <c r="CH199" s="4"/>
      <c r="CI199" s="13"/>
    </row>
    <row r="200" spans="1:87" ht="18" customHeight="1">
      <c r="A200" s="58" t="s">
        <v>1</v>
      </c>
      <c r="B200" s="52"/>
      <c r="C200" s="187">
        <f>IF(H197&gt;0,$X$190,0)</f>
        <v>0</v>
      </c>
      <c r="D200" s="201" t="s">
        <v>6</v>
      </c>
      <c r="E200" s="60" t="s">
        <v>59</v>
      </c>
      <c r="F200" s="1377">
        <f>入力画面!I13</f>
        <v>12</v>
      </c>
      <c r="G200" s="1377"/>
      <c r="H200" s="214" t="s">
        <v>5</v>
      </c>
      <c r="I200" s="1388" t="s">
        <v>270</v>
      </c>
      <c r="J200" s="1388"/>
      <c r="K200" s="1377">
        <f>T187-(K210+K220+K230+K240+K250+K260)</f>
        <v>0</v>
      </c>
      <c r="L200" s="1377"/>
      <c r="M200" s="202" t="s">
        <v>6</v>
      </c>
      <c r="N200" s="202"/>
      <c r="O200" s="203"/>
      <c r="P200" s="203"/>
      <c r="Q200" s="63"/>
      <c r="R200" s="204"/>
      <c r="S200" s="59"/>
      <c r="T200" s="622"/>
      <c r="U200" s="205"/>
      <c r="V200" s="622"/>
      <c r="W200" s="186"/>
      <c r="X200" s="187"/>
      <c r="Y200" s="206"/>
      <c r="Z200" s="642"/>
      <c r="AA200" s="73"/>
      <c r="AB200" s="73"/>
      <c r="AC200" s="223"/>
      <c r="AD200" s="73"/>
      <c r="AE200" s="73"/>
      <c r="AF200" s="235"/>
      <c r="AG200" s="233"/>
      <c r="AH200" s="189"/>
      <c r="AI200" s="175"/>
      <c r="AJ200" s="28" t="s">
        <v>35</v>
      </c>
      <c r="AK200" s="479" t="str">
        <f t="shared" si="131"/>
        <v>OK</v>
      </c>
      <c r="AL200" s="30" t="s">
        <v>40</v>
      </c>
      <c r="AM200" s="635" t="str">
        <f>IF(Z183=AM194,"OK","エラー")</f>
        <v>OK</v>
      </c>
      <c r="AN200" s="174"/>
      <c r="AO200" s="1407" t="s">
        <v>428</v>
      </c>
      <c r="AP200" s="1407"/>
      <c r="AQ200" s="1407"/>
      <c r="AR200" s="1407"/>
      <c r="AS200" s="347"/>
      <c r="AT200" s="1406" t="s">
        <v>415</v>
      </c>
      <c r="AU200" s="1406"/>
      <c r="AV200" s="347"/>
      <c r="AW200" s="347"/>
      <c r="AX200" s="318"/>
      <c r="AY200" s="1405" t="s">
        <v>415</v>
      </c>
      <c r="AZ200" s="1406"/>
      <c r="BA200" s="349"/>
      <c r="BB200" s="421"/>
      <c r="BC200" s="318"/>
      <c r="BD200" s="1453" t="s">
        <v>226</v>
      </c>
      <c r="BE200" s="1430"/>
      <c r="BF200" s="4" t="s">
        <v>258</v>
      </c>
      <c r="BH200" s="12"/>
      <c r="BI200" s="1430" t="s">
        <v>226</v>
      </c>
      <c r="BJ200" s="1430"/>
      <c r="BM200" s="12"/>
      <c r="BN200" s="1430" t="s">
        <v>226</v>
      </c>
      <c r="BO200" s="1430"/>
      <c r="BR200" s="446"/>
      <c r="BS200" s="12"/>
      <c r="BT200" s="12"/>
      <c r="BU200" s="12"/>
      <c r="BV200" s="12"/>
      <c r="BW200" s="12"/>
      <c r="BX200" s="4"/>
      <c r="BY200" s="4"/>
      <c r="BZ200" s="4"/>
      <c r="CA200" s="4"/>
      <c r="CB200" s="4"/>
      <c r="CC200" s="4"/>
      <c r="CD200" s="4"/>
      <c r="CE200" s="4"/>
      <c r="CF200" s="583">
        <v>9</v>
      </c>
      <c r="CG200" s="583">
        <f t="shared" si="124"/>
        <v>22500</v>
      </c>
      <c r="CH200" s="4"/>
      <c r="CI200" s="13"/>
    </row>
    <row r="201" spans="1:87" ht="18" customHeight="1">
      <c r="D201" s="101"/>
      <c r="E201" s="640"/>
      <c r="G201" s="9"/>
      <c r="H201" s="102"/>
      <c r="I201" s="643"/>
      <c r="J201" s="9"/>
      <c r="K201" s="18"/>
      <c r="M201" s="103"/>
      <c r="P201" s="103"/>
      <c r="Q201" s="640"/>
      <c r="R201" s="104"/>
      <c r="S201" s="68"/>
      <c r="T201" s="68"/>
      <c r="U201" s="68"/>
      <c r="AA201" s="26"/>
      <c r="AB201" s="26"/>
      <c r="AC201" s="491"/>
      <c r="AD201" s="26"/>
      <c r="AE201" s="634"/>
      <c r="AF201" s="231"/>
      <c r="AG201" s="26"/>
      <c r="AH201" s="26"/>
      <c r="AI201" s="173"/>
      <c r="AJ201" s="28" t="s">
        <v>36</v>
      </c>
      <c r="AK201" s="479" t="str">
        <f t="shared" si="131"/>
        <v>OK</v>
      </c>
      <c r="AL201" s="30" t="s">
        <v>41</v>
      </c>
      <c r="AM201" s="635" t="str">
        <f>IF(Z184=AM195,"OK","エラー")</f>
        <v>OK</v>
      </c>
      <c r="AN201" s="174"/>
      <c r="AO201" s="367" t="s">
        <v>217</v>
      </c>
      <c r="AP201" s="1401"/>
      <c r="AQ201" s="1401"/>
      <c r="AR201" s="1401"/>
      <c r="AS201" s="369"/>
      <c r="AT201" s="1413" t="s">
        <v>218</v>
      </c>
      <c r="AU201" s="1413"/>
      <c r="AV201" s="1413"/>
      <c r="AW201" s="1413"/>
      <c r="AX201" s="318"/>
      <c r="AY201" s="416" t="s">
        <v>224</v>
      </c>
      <c r="AZ201" s="1448" t="s">
        <v>223</v>
      </c>
      <c r="BA201" s="1448"/>
      <c r="BB201" s="1449"/>
      <c r="BC201" s="318"/>
      <c r="BD201" s="1426" t="s">
        <v>261</v>
      </c>
      <c r="BE201" s="1427"/>
      <c r="BF201" s="1427"/>
      <c r="BG201" s="1427"/>
      <c r="BH201" s="12"/>
      <c r="BI201" s="437" t="s">
        <v>262</v>
      </c>
      <c r="BJ201" s="1438" t="s">
        <v>260</v>
      </c>
      <c r="BK201" s="1438"/>
      <c r="BL201" s="1438"/>
      <c r="BM201" s="12"/>
      <c r="BN201" s="12"/>
      <c r="BO201" s="143" t="s">
        <v>263</v>
      </c>
      <c r="BP201" s="12" t="s">
        <v>88</v>
      </c>
      <c r="BQ201" s="12"/>
      <c r="BR201" s="446"/>
      <c r="BS201" s="12"/>
      <c r="BT201" s="12"/>
      <c r="BU201" s="12"/>
      <c r="BV201" s="12"/>
      <c r="BW201" s="12"/>
      <c r="BX201" s="4"/>
      <c r="BY201" s="4"/>
      <c r="BZ201" s="4"/>
      <c r="CA201" s="4"/>
      <c r="CB201" s="4"/>
      <c r="CC201" s="4"/>
      <c r="CD201" s="4"/>
      <c r="CE201" s="4"/>
      <c r="CF201" s="583">
        <v>10</v>
      </c>
      <c r="CG201" s="583">
        <f t="shared" si="124"/>
        <v>25000</v>
      </c>
      <c r="CH201" s="4"/>
      <c r="CI201" s="13"/>
    </row>
    <row r="202" spans="1:87" ht="18" customHeight="1">
      <c r="A202" s="194" t="s">
        <v>52</v>
      </c>
      <c r="B202" s="1396">
        <f>IF(I203=1,B25,0)</f>
        <v>0</v>
      </c>
      <c r="C202" s="1396"/>
      <c r="D202" s="1396"/>
      <c r="E202" s="644" t="s">
        <v>11</v>
      </c>
      <c r="F202" s="1398" t="s">
        <v>57</v>
      </c>
      <c r="G202" s="1398"/>
      <c r="H202" s="1399"/>
      <c r="I202" s="1380">
        <f>IF(I114=1,1,0)</f>
        <v>0</v>
      </c>
      <c r="J202" s="1381"/>
      <c r="K202" s="1515">
        <f>IF(H207=0,0,IF($K$185=0, "加入月が未入力です!！",IF($L$176=$A$176,"限度超過額に達しているため計算不可能!!",IF(U204-U203=U205,"エラー名前を入力されているが加入月未入力!！",IF(H207&gt;K204,"加入月未入力エラー!！",0)))))</f>
        <v>0</v>
      </c>
      <c r="L202" s="1516"/>
      <c r="M202" s="1516"/>
      <c r="N202" s="1516"/>
      <c r="O202" s="1516"/>
      <c r="P202" s="1516"/>
      <c r="Q202" s="1516"/>
      <c r="R202" s="1516"/>
      <c r="S202" s="1517"/>
      <c r="T202" s="623" t="s">
        <v>47</v>
      </c>
      <c r="U202" s="1605">
        <f>IF(U207&gt;0,"子ども・子育て分",0)</f>
        <v>0</v>
      </c>
      <c r="V202" s="1606"/>
      <c r="W202" s="1419" t="s">
        <v>46</v>
      </c>
      <c r="X202" s="1278"/>
      <c r="Y202" s="1278"/>
      <c r="Z202" s="1279"/>
      <c r="AA202" s="26"/>
      <c r="AB202" s="26"/>
      <c r="AC202" s="491"/>
      <c r="AD202" s="26"/>
      <c r="AE202" s="634"/>
      <c r="AF202" s="236" t="s">
        <v>117</v>
      </c>
      <c r="AG202" s="26"/>
      <c r="AH202" s="274">
        <f>IF(K204=0,0,IF(K204&lt;12,1,0))</f>
        <v>0</v>
      </c>
      <c r="AI202" s="73"/>
      <c r="AJ202" s="28" t="s">
        <v>43</v>
      </c>
      <c r="AK202" s="479" t="str">
        <f t="shared" si="131"/>
        <v>OK</v>
      </c>
      <c r="AL202" s="30" t="s">
        <v>42</v>
      </c>
      <c r="AM202" s="635" t="str">
        <f>IF(Z185=AM196,"OK","エラー")</f>
        <v>OK</v>
      </c>
      <c r="AN202" s="366" t="s">
        <v>52</v>
      </c>
      <c r="AO202" s="1319" t="s">
        <v>220</v>
      </c>
      <c r="AP202" s="1402"/>
      <c r="AQ202" s="1403">
        <f>IF(AR30=0,0,ROUNDDOWN(AR208/AR30,8))</f>
        <v>0</v>
      </c>
      <c r="AR202" s="1404"/>
      <c r="AS202" s="370"/>
      <c r="AT202" s="1319" t="s">
        <v>213</v>
      </c>
      <c r="AU202" s="1402"/>
      <c r="AV202" s="1411">
        <f>IF($AG$2&gt;0,0,AR208-AR207)</f>
        <v>0</v>
      </c>
      <c r="AW202" s="1412"/>
      <c r="AX202" s="318"/>
      <c r="AY202" s="1408" t="s">
        <v>46</v>
      </c>
      <c r="AZ202" s="1402"/>
      <c r="BA202" s="1450">
        <f>IF(R204+R207=0,0,IF(K205&gt;K204,"期割がアンマッチ使用禁止↓",0))</f>
        <v>0</v>
      </c>
      <c r="BB202" s="1451"/>
      <c r="BC202" s="318"/>
      <c r="BD202" s="1435" t="s">
        <v>46</v>
      </c>
      <c r="BE202" s="1434"/>
      <c r="BF202" s="1436" t="s">
        <v>87</v>
      </c>
      <c r="BG202" s="1437"/>
      <c r="BH202" s="12"/>
      <c r="BI202" s="1253" t="s">
        <v>89</v>
      </c>
      <c r="BJ202" s="1434"/>
      <c r="BK202" s="438"/>
      <c r="BL202" s="439"/>
      <c r="BM202" s="12"/>
      <c r="BN202" s="1253" t="s">
        <v>46</v>
      </c>
      <c r="BO202" s="1434"/>
      <c r="BP202" s="1431"/>
      <c r="BQ202" s="1433"/>
      <c r="BR202" s="446"/>
      <c r="BS202" s="12"/>
      <c r="BT202" s="12"/>
      <c r="BU202" s="12"/>
      <c r="BV202" s="12"/>
      <c r="BW202" s="12"/>
      <c r="BX202" s="4"/>
      <c r="BY202" s="4"/>
      <c r="BZ202" s="4"/>
      <c r="CA202" s="4"/>
      <c r="CB202" s="4"/>
      <c r="CC202" s="4"/>
      <c r="CD202" s="4"/>
      <c r="CE202" s="4"/>
      <c r="CF202" s="583">
        <v>11</v>
      </c>
      <c r="CG202" s="583">
        <f t="shared" si="124"/>
        <v>27500</v>
      </c>
      <c r="CH202" s="4"/>
      <c r="CI202" s="13"/>
    </row>
    <row r="203" spans="1:87" ht="18" customHeight="1">
      <c r="A203" s="165"/>
      <c r="B203" s="12"/>
      <c r="C203" s="75" t="s">
        <v>33</v>
      </c>
      <c r="D203" s="12"/>
      <c r="E203" s="12"/>
      <c r="F203" s="1394" t="s">
        <v>433</v>
      </c>
      <c r="G203" s="1394"/>
      <c r="H203" s="1394"/>
      <c r="I203" s="1386">
        <f>IF(I115=1,1,0)</f>
        <v>0</v>
      </c>
      <c r="J203" s="1387"/>
      <c r="K203" s="76" t="s">
        <v>9</v>
      </c>
      <c r="L203" s="12"/>
      <c r="M203" s="1551"/>
      <c r="N203" s="1551"/>
      <c r="O203" s="1551"/>
      <c r="P203" s="1551"/>
      <c r="Q203" s="1551"/>
      <c r="R203" s="1551"/>
      <c r="S203" s="1552"/>
      <c r="T203" s="72" t="s">
        <v>30</v>
      </c>
      <c r="U203" s="105">
        <f>R204+R207</f>
        <v>0</v>
      </c>
      <c r="V203" s="88" t="s">
        <v>6</v>
      </c>
      <c r="W203" s="80" t="s">
        <v>34</v>
      </c>
      <c r="X203" s="29">
        <f>IF($AH$13&gt;0,0,AZ203)</f>
        <v>0</v>
      </c>
      <c r="Y203" s="80" t="s">
        <v>39</v>
      </c>
      <c r="Z203" s="31">
        <f>IF($AH$13&gt;0,0,BB203)</f>
        <v>0</v>
      </c>
      <c r="AA203" s="26"/>
      <c r="AB203" s="26"/>
      <c r="AC203" s="491"/>
      <c r="AD203" s="26"/>
      <c r="AE203" s="634"/>
      <c r="AF203" s="217">
        <f>AF204+AF207+AF210</f>
        <v>0</v>
      </c>
      <c r="AG203" s="26"/>
      <c r="AH203" s="26"/>
      <c r="AI203" s="173"/>
      <c r="AJ203" s="28" t="s">
        <v>37</v>
      </c>
      <c r="AK203" s="479" t="str">
        <f t="shared" si="131"/>
        <v>OK</v>
      </c>
      <c r="AL203" s="1557" t="s">
        <v>44</v>
      </c>
      <c r="AM203" s="1607" t="str">
        <f>IF(Z186=AM197,"OK","エラー")</f>
        <v>OK</v>
      </c>
      <c r="AN203" s="173"/>
      <c r="AO203" s="126" t="s">
        <v>34</v>
      </c>
      <c r="AP203" s="344">
        <f>ROUND(AP26*AQ202,0)</f>
        <v>0</v>
      </c>
      <c r="AQ203" s="351" t="s">
        <v>39</v>
      </c>
      <c r="AR203" s="345">
        <f>ROUND(AR26*AQ202,0)</f>
        <v>0</v>
      </c>
      <c r="AS203" s="371"/>
      <c r="AT203" s="126" t="s">
        <v>34</v>
      </c>
      <c r="AU203" s="344">
        <f>IF(AV202=0,0,IF(AV202&gt;=10,1,IF(AV202&lt;=-10,-1,0)))</f>
        <v>0</v>
      </c>
      <c r="AV203" s="351" t="s">
        <v>39</v>
      </c>
      <c r="AW203" s="345">
        <f>IF(AV202=0,0,IF(AV202&gt;=4,1,IF(AV202&lt;=-4,-1,0)))</f>
        <v>0</v>
      </c>
      <c r="AX203" s="318"/>
      <c r="AY203" s="258" t="s">
        <v>34</v>
      </c>
      <c r="AZ203" s="372">
        <f t="shared" ref="AZ203:AZ208" si="132">IF($AG$2&gt;0,"限度超過",IF($A$176=$L$176,"限度超過",AP203+AU203))</f>
        <v>0</v>
      </c>
      <c r="BA203" s="319" t="s">
        <v>39</v>
      </c>
      <c r="BB203" s="127">
        <f>IF($AG$2&gt;0,"限度超過",IF($A$176=$L$176,"限度超過",AR203+AW203))</f>
        <v>0</v>
      </c>
      <c r="BC203" s="318"/>
      <c r="BD203" s="448" t="s">
        <v>34</v>
      </c>
      <c r="BE203" s="81">
        <f t="shared" ref="BE203:BE208" si="133">BE193</f>
        <v>0</v>
      </c>
      <c r="BF203" s="82" t="s">
        <v>39</v>
      </c>
      <c r="BG203" s="29">
        <f>BG193</f>
        <v>0</v>
      </c>
      <c r="BH203" s="12"/>
      <c r="BI203" s="80" t="s">
        <v>34</v>
      </c>
      <c r="BJ203" s="29">
        <f t="shared" ref="BJ203:BJ208" si="134">IF($A$176=$L$176,"限度超過",IF(BE203=0,0,BE203/$S$94))</f>
        <v>0</v>
      </c>
      <c r="BK203" s="80" t="s">
        <v>39</v>
      </c>
      <c r="BL203" s="29">
        <f>IF($A$176=$L$176,"限度超過",IF(BG203=0,0,BG203/$S$94))</f>
        <v>0</v>
      </c>
      <c r="BM203" s="12"/>
      <c r="BN203" s="30" t="s">
        <v>34</v>
      </c>
      <c r="BO203" s="29">
        <f t="shared" ref="BO203:BO208" si="135">IF($A$176=$L$176,"限度超過",IF($S$94&lt;=1,0,BJ203))</f>
        <v>0</v>
      </c>
      <c r="BP203" s="80" t="s">
        <v>39</v>
      </c>
      <c r="BQ203" s="29">
        <f>IF($A$176=$L$176,"限度超過",IF($S$94&lt;=1,0,BL203))</f>
        <v>0</v>
      </c>
      <c r="BR203" s="446"/>
      <c r="BS203" s="12"/>
      <c r="BT203" s="12"/>
      <c r="BU203" s="12"/>
      <c r="BV203" s="12"/>
      <c r="BW203" s="12"/>
      <c r="BX203" s="32"/>
      <c r="BY203" s="33" t="str">
        <f>BY193</f>
        <v>料率</v>
      </c>
      <c r="BZ203" s="33">
        <f>BZ193</f>
        <v>7</v>
      </c>
      <c r="CA203" s="33">
        <f>CA193</f>
        <v>5</v>
      </c>
      <c r="CB203" s="33">
        <f>CB193</f>
        <v>2</v>
      </c>
      <c r="CC203" s="576" t="s">
        <v>341</v>
      </c>
      <c r="CD203" s="4"/>
      <c r="CE203" s="4"/>
      <c r="CF203" s="583">
        <v>12</v>
      </c>
      <c r="CG203" s="583">
        <f t="shared" si="124"/>
        <v>30000</v>
      </c>
      <c r="CH203" s="4"/>
      <c r="CI203" s="13"/>
    </row>
    <row r="204" spans="1:87" ht="18" customHeight="1">
      <c r="A204" s="1378" t="s">
        <v>0</v>
      </c>
      <c r="B204" s="1556" t="s">
        <v>129</v>
      </c>
      <c r="C204" s="1382">
        <f>C27</f>
        <v>0</v>
      </c>
      <c r="D204" s="1010" t="s">
        <v>58</v>
      </c>
      <c r="E204" s="1389">
        <f>IF(H207&gt;0,$CE$100, 0)</f>
        <v>0</v>
      </c>
      <c r="F204" s="1395" t="s">
        <v>22</v>
      </c>
      <c r="G204" s="1010" t="s">
        <v>59</v>
      </c>
      <c r="H204" s="85">
        <f>IF(H207&gt;0,$CE$184,0)</f>
        <v>0</v>
      </c>
      <c r="I204" s="1385" t="s">
        <v>22</v>
      </c>
      <c r="J204" s="1010" t="s">
        <v>59</v>
      </c>
      <c r="K204" s="51">
        <f>入力画面!I20</f>
        <v>0</v>
      </c>
      <c r="L204" s="52" t="s">
        <v>5</v>
      </c>
      <c r="M204" s="1395"/>
      <c r="N204" s="1527"/>
      <c r="O204" s="636"/>
      <c r="P204" s="1392" t="s">
        <v>14</v>
      </c>
      <c r="Q204" s="1392"/>
      <c r="R204" s="1391">
        <f>ROUNDDOWN(IF(((C204-E204)*H204/H205)*K204/K205&lt;0,0,((C204-E204)*H204/H205)*K204/K205),0)</f>
        <v>0</v>
      </c>
      <c r="S204" s="1520" t="s">
        <v>6</v>
      </c>
      <c r="T204" s="72" t="s">
        <v>1</v>
      </c>
      <c r="U204" s="105">
        <f>IF(H207=0,0,K210)</f>
        <v>0</v>
      </c>
      <c r="V204" s="88" t="s">
        <v>6</v>
      </c>
      <c r="W204" s="30" t="s">
        <v>35</v>
      </c>
      <c r="X204" s="29">
        <f>IF($AH$13&gt;0,0,AZ204)</f>
        <v>0</v>
      </c>
      <c r="Y204" s="30" t="s">
        <v>40</v>
      </c>
      <c r="Z204" s="31">
        <f>IF($AH$13&gt;0,0,BB204)</f>
        <v>0</v>
      </c>
      <c r="AA204" s="26"/>
      <c r="AB204" s="26"/>
      <c r="AC204" s="491"/>
      <c r="AD204" s="26"/>
      <c r="AE204" s="634"/>
      <c r="AF204" s="1423">
        <f>ROUNDDOWN(IF(((C204-E204)*H204/H205)&lt;0,0,((C204-E204)*H204/H205)),0)</f>
        <v>0</v>
      </c>
      <c r="AG204" s="26"/>
      <c r="AH204" s="26"/>
      <c r="AI204" s="173"/>
      <c r="AJ204" s="65" t="s">
        <v>38</v>
      </c>
      <c r="AK204" s="481" t="str">
        <f t="shared" si="131"/>
        <v>OK</v>
      </c>
      <c r="AL204" s="1558"/>
      <c r="AM204" s="1608"/>
      <c r="AN204" s="173"/>
      <c r="AO204" s="126" t="s">
        <v>35</v>
      </c>
      <c r="AP204" s="344">
        <f>ROUND(AP27*AQ202,0)</f>
        <v>0</v>
      </c>
      <c r="AQ204" s="351" t="s">
        <v>40</v>
      </c>
      <c r="AR204" s="345">
        <f>ROUND(AR27*AQ202,0)</f>
        <v>0</v>
      </c>
      <c r="AS204" s="371"/>
      <c r="AT204" s="126" t="s">
        <v>35</v>
      </c>
      <c r="AU204" s="344">
        <f>IF(AV202=0,0,IF(AV202&gt;=9,1,IF(AV202&lt;=-9,-1,0)))</f>
        <v>0</v>
      </c>
      <c r="AV204" s="351" t="s">
        <v>40</v>
      </c>
      <c r="AW204" s="345">
        <f>IF(AV202=0,0,IF(AV202&gt;=3,1,IF(AV202&lt;=-3,-1,0)))</f>
        <v>0</v>
      </c>
      <c r="AX204" s="318"/>
      <c r="AY204" s="262" t="s">
        <v>35</v>
      </c>
      <c r="AZ204" s="372">
        <f t="shared" si="132"/>
        <v>0</v>
      </c>
      <c r="BA204" s="319" t="s">
        <v>40</v>
      </c>
      <c r="BB204" s="127">
        <f>IF($AG$2&gt;0,"限度超過",IF($A$176=$L$176,"限度超過",AR204+AW204))</f>
        <v>0</v>
      </c>
      <c r="BC204" s="318"/>
      <c r="BD204" s="448" t="s">
        <v>35</v>
      </c>
      <c r="BE204" s="81">
        <f t="shared" si="133"/>
        <v>0</v>
      </c>
      <c r="BF204" s="82" t="s">
        <v>40</v>
      </c>
      <c r="BG204" s="29">
        <f>BG194</f>
        <v>0</v>
      </c>
      <c r="BH204" s="12"/>
      <c r="BI204" s="30" t="s">
        <v>35</v>
      </c>
      <c r="BJ204" s="29">
        <f t="shared" si="134"/>
        <v>0</v>
      </c>
      <c r="BK204" s="30" t="s">
        <v>40</v>
      </c>
      <c r="BL204" s="29">
        <f>IF($A$176=$L$176,"限度超過",IF(BG204=0,0,BG204/$S$94))</f>
        <v>0</v>
      </c>
      <c r="BM204" s="12"/>
      <c r="BN204" s="30" t="s">
        <v>35</v>
      </c>
      <c r="BO204" s="29">
        <f t="shared" si="135"/>
        <v>0</v>
      </c>
      <c r="BP204" s="30" t="s">
        <v>40</v>
      </c>
      <c r="BQ204" s="29">
        <f>IF($A$176=$L$176,"限度超過",IF($S$94&lt;=1,0,BL204))</f>
        <v>0</v>
      </c>
      <c r="BR204" s="446"/>
      <c r="BS204" s="12"/>
      <c r="BT204" s="12"/>
      <c r="BU204" s="12"/>
      <c r="BV204" s="12"/>
      <c r="BW204" s="12"/>
      <c r="BX204" s="32" t="s">
        <v>17</v>
      </c>
      <c r="BY204" s="44">
        <v>0</v>
      </c>
      <c r="BZ204" s="45">
        <f>$CF$185+$CF$186</f>
        <v>700</v>
      </c>
      <c r="CA204" s="45">
        <f>$CG$185+$CG$186</f>
        <v>500</v>
      </c>
      <c r="CB204" s="45">
        <f>$CH$185+$CH$186</f>
        <v>200</v>
      </c>
      <c r="CC204" s="576"/>
      <c r="CD204" s="4"/>
      <c r="CE204" s="4"/>
      <c r="CF204" s="4"/>
      <c r="CG204" s="587">
        <f>IF(BV260=0,0,VLOOKUP(BV260,CF192:CG203,2,FALSE))</f>
        <v>0</v>
      </c>
      <c r="CH204" s="4"/>
      <c r="CI204" s="13"/>
    </row>
    <row r="205" spans="1:87" ht="18" customHeight="1">
      <c r="A205" s="1378"/>
      <c r="B205" s="1556"/>
      <c r="C205" s="1382"/>
      <c r="D205" s="1010"/>
      <c r="E205" s="1389"/>
      <c r="F205" s="1395"/>
      <c r="G205" s="1010"/>
      <c r="H205" s="619">
        <v>100</v>
      </c>
      <c r="I205" s="1385"/>
      <c r="J205" s="1010"/>
      <c r="K205" s="55">
        <v>12</v>
      </c>
      <c r="L205" s="12" t="s">
        <v>5</v>
      </c>
      <c r="M205" s="1395"/>
      <c r="N205" s="1527"/>
      <c r="O205" s="636"/>
      <c r="P205" s="1392"/>
      <c r="Q205" s="1392"/>
      <c r="R205" s="1391"/>
      <c r="S205" s="1520"/>
      <c r="T205" s="72" t="s">
        <v>29</v>
      </c>
      <c r="U205" s="105">
        <f>U203+U204</f>
        <v>0</v>
      </c>
      <c r="V205" s="88" t="s">
        <v>6</v>
      </c>
      <c r="W205" s="30" t="s">
        <v>36</v>
      </c>
      <c r="X205" s="29">
        <f t="shared" ref="X205:X208" si="136">IF($AH$13&gt;0,0,AZ205)</f>
        <v>0</v>
      </c>
      <c r="Y205" s="30" t="s">
        <v>41</v>
      </c>
      <c r="Z205" s="31">
        <f>IF($AH$13&gt;0,0,BB205)</f>
        <v>0</v>
      </c>
      <c r="AA205" s="26"/>
      <c r="AB205" s="26"/>
      <c r="AC205" s="491"/>
      <c r="AD205" s="26"/>
      <c r="AE205" s="634"/>
      <c r="AF205" s="1424"/>
      <c r="AG205" s="26"/>
      <c r="AH205" s="26"/>
      <c r="AI205" s="173"/>
      <c r="AJ205" s="173"/>
      <c r="AK205" s="173"/>
      <c r="AL205" s="173"/>
      <c r="AM205" s="173"/>
      <c r="AN205" s="173"/>
      <c r="AO205" s="126" t="s">
        <v>36</v>
      </c>
      <c r="AP205" s="344">
        <f>ROUND(AP28*AQ202,0)</f>
        <v>0</v>
      </c>
      <c r="AQ205" s="351" t="s">
        <v>41</v>
      </c>
      <c r="AR205" s="345">
        <f>ROUND(AR28*AQ202,0)</f>
        <v>0</v>
      </c>
      <c r="AS205" s="350"/>
      <c r="AT205" s="126" t="s">
        <v>36</v>
      </c>
      <c r="AU205" s="344">
        <f>IF(AV202=0,0,IF(AV202&gt;=8,1,IF(AV202&lt;=-8,-1,0)))</f>
        <v>0</v>
      </c>
      <c r="AV205" s="351" t="s">
        <v>41</v>
      </c>
      <c r="AW205" s="345">
        <f>IF(AV202=0,0,IF(AV202&gt;=2,1,IF(AV202&lt;=-2,-1,0)))</f>
        <v>0</v>
      </c>
      <c r="AX205" s="318"/>
      <c r="AY205" s="262" t="s">
        <v>36</v>
      </c>
      <c r="AZ205" s="372">
        <f t="shared" si="132"/>
        <v>0</v>
      </c>
      <c r="BA205" s="319" t="s">
        <v>41</v>
      </c>
      <c r="BB205" s="127">
        <f>IF($AG$2&gt;0,"限度超過",IF($A$176=$L$176,"限度超過",AR205+AW205))</f>
        <v>0</v>
      </c>
      <c r="BC205" s="318"/>
      <c r="BD205" s="448" t="s">
        <v>36</v>
      </c>
      <c r="BE205" s="81">
        <f t="shared" si="133"/>
        <v>0</v>
      </c>
      <c r="BF205" s="82" t="s">
        <v>41</v>
      </c>
      <c r="BG205" s="29">
        <f>BG195</f>
        <v>0</v>
      </c>
      <c r="BH205" s="12"/>
      <c r="BI205" s="30" t="s">
        <v>36</v>
      </c>
      <c r="BJ205" s="29">
        <f t="shared" si="134"/>
        <v>0</v>
      </c>
      <c r="BK205" s="30" t="s">
        <v>41</v>
      </c>
      <c r="BL205" s="29">
        <f>IF($A$176=$L$176,"限度超過",IF(BG205=0,0,BG205/$S$94))</f>
        <v>0</v>
      </c>
      <c r="BM205" s="12"/>
      <c r="BN205" s="30" t="s">
        <v>36</v>
      </c>
      <c r="BO205" s="29">
        <f t="shared" si="135"/>
        <v>0</v>
      </c>
      <c r="BP205" s="30" t="s">
        <v>41</v>
      </c>
      <c r="BQ205" s="29">
        <f>IF($A$176=$L$176,"限度超過",IF($S$94&lt;=1,0,BL205))</f>
        <v>0</v>
      </c>
      <c r="BR205" s="446"/>
      <c r="BS205" s="12"/>
      <c r="BT205" s="12"/>
      <c r="BU205" s="12"/>
      <c r="BV205" s="12"/>
      <c r="BW205" s="12"/>
      <c r="BX205" s="32" t="s">
        <v>8</v>
      </c>
      <c r="BY205" s="45">
        <f>K207</f>
        <v>0</v>
      </c>
      <c r="BZ205" s="45">
        <f t="shared" ref="BZ205:BZ207" si="137">BY205</f>
        <v>0</v>
      </c>
      <c r="CA205" s="45">
        <f t="shared" ref="CA205:CA207" si="138">BZ205</f>
        <v>0</v>
      </c>
      <c r="CB205" s="45">
        <f t="shared" ref="CB205:CB207" si="139">CA205</f>
        <v>0</v>
      </c>
      <c r="CC205" s="576">
        <f>CB205</f>
        <v>0</v>
      </c>
      <c r="CD205" s="4"/>
      <c r="CE205" s="4"/>
      <c r="CF205" s="4"/>
      <c r="CG205" s="4"/>
      <c r="CH205" s="4"/>
      <c r="CI205" s="13"/>
    </row>
    <row r="206" spans="1:87" ht="18" customHeight="1">
      <c r="A206" s="165"/>
      <c r="B206" s="12"/>
      <c r="C206" s="620"/>
      <c r="D206" s="12"/>
      <c r="E206" s="12"/>
      <c r="F206" s="12"/>
      <c r="G206" s="12"/>
      <c r="H206" s="91"/>
      <c r="I206" s="75"/>
      <c r="J206" s="75"/>
      <c r="K206" s="92"/>
      <c r="L206" s="75"/>
      <c r="M206" s="93"/>
      <c r="N206" s="578">
        <f>IF(入力画面!E115=1,"未就学児",0)</f>
        <v>0</v>
      </c>
      <c r="O206" s="42">
        <f>IF(H207=0,0,$D$94)</f>
        <v>0</v>
      </c>
      <c r="P206" s="463">
        <f>IF(O207=0,0,"軽減額")</f>
        <v>0</v>
      </c>
      <c r="Q206" s="12"/>
      <c r="R206" s="95"/>
      <c r="S206" s="641"/>
      <c r="T206" s="96" t="s">
        <v>31</v>
      </c>
      <c r="U206" s="105">
        <f>ROUNDDOWN(U205,-2)</f>
        <v>0</v>
      </c>
      <c r="V206" s="88" t="s">
        <v>6</v>
      </c>
      <c r="W206" s="30" t="s">
        <v>43</v>
      </c>
      <c r="X206" s="29">
        <f t="shared" si="136"/>
        <v>0</v>
      </c>
      <c r="Y206" s="30" t="s">
        <v>42</v>
      </c>
      <c r="Z206" s="31">
        <f>IF($AH$13&gt;0,0,BB206)</f>
        <v>0</v>
      </c>
      <c r="AA206" s="4"/>
      <c r="AB206" s="4"/>
      <c r="AC206" s="489"/>
      <c r="AD206" s="4"/>
      <c r="AE206" s="497" t="str">
        <f>IF($AH$13&gt;0,"－",IF($AG$2&gt;0,"限度超過",IF(U207=Z207,"OK","ｱﾝﾏｯﾁ")))</f>
        <v>OK</v>
      </c>
      <c r="AF206" s="496"/>
      <c r="AG206" s="4"/>
      <c r="AI206" s="174"/>
      <c r="AJ206" s="174"/>
      <c r="AK206" s="174"/>
      <c r="AL206" s="174"/>
      <c r="AM206" s="174"/>
      <c r="AN206" s="173"/>
      <c r="AO206" s="126" t="s">
        <v>43</v>
      </c>
      <c r="AP206" s="344">
        <f>ROUND(AP29*AQ202,0)</f>
        <v>0</v>
      </c>
      <c r="AQ206" s="351" t="s">
        <v>42</v>
      </c>
      <c r="AR206" s="345">
        <f>ROUND(AR29*AQ202,0)</f>
        <v>0</v>
      </c>
      <c r="AS206" s="350"/>
      <c r="AT206" s="126" t="s">
        <v>43</v>
      </c>
      <c r="AU206" s="344">
        <f>IF(AV202=0,0,IF(AV202&gt;=7,1,IF(AV202&lt;=-7,-1,0)))</f>
        <v>0</v>
      </c>
      <c r="AV206" s="351" t="s">
        <v>42</v>
      </c>
      <c r="AW206" s="345">
        <f>IF(AV202=0,0,IF(AV202&gt;=1,1,IF(AV202&lt;=-1,-1,0)))</f>
        <v>0</v>
      </c>
      <c r="AX206" s="318"/>
      <c r="AY206" s="262" t="s">
        <v>43</v>
      </c>
      <c r="AZ206" s="372">
        <f t="shared" si="132"/>
        <v>0</v>
      </c>
      <c r="BA206" s="319" t="s">
        <v>42</v>
      </c>
      <c r="BB206" s="127">
        <f>IF($AG$2&gt;0,"限度超過",IF($A$176=$L$176,"限度超過",AR206+AW206))</f>
        <v>0</v>
      </c>
      <c r="BC206" s="318"/>
      <c r="BD206" s="448" t="s">
        <v>43</v>
      </c>
      <c r="BE206" s="81">
        <f t="shared" si="133"/>
        <v>0</v>
      </c>
      <c r="BF206" s="82" t="s">
        <v>42</v>
      </c>
      <c r="BG206" s="29">
        <f>BG196</f>
        <v>0</v>
      </c>
      <c r="BH206" s="12"/>
      <c r="BI206" s="30" t="s">
        <v>43</v>
      </c>
      <c r="BJ206" s="29">
        <f t="shared" si="134"/>
        <v>0</v>
      </c>
      <c r="BK206" s="30" t="s">
        <v>42</v>
      </c>
      <c r="BL206" s="29">
        <f>IF($A$176=$L$176,"限度超過",IF(BG206=0,0,BG206/$S$94))</f>
        <v>0</v>
      </c>
      <c r="BM206" s="12"/>
      <c r="BN206" s="30" t="s">
        <v>43</v>
      </c>
      <c r="BO206" s="29">
        <f t="shared" si="135"/>
        <v>0</v>
      </c>
      <c r="BP206" s="30" t="s">
        <v>42</v>
      </c>
      <c r="BQ206" s="29">
        <f>IF($A$176=$L$176,"限度超過",IF($S$94&lt;=1,0,BL206))</f>
        <v>0</v>
      </c>
      <c r="BR206" s="446"/>
      <c r="BS206" s="12"/>
      <c r="BT206" s="12"/>
      <c r="BU206" s="12"/>
      <c r="BV206" s="12"/>
      <c r="BW206" s="12"/>
      <c r="BX206" s="32" t="s">
        <v>25</v>
      </c>
      <c r="BY206" s="45">
        <f>K208</f>
        <v>0</v>
      </c>
      <c r="BZ206" s="45">
        <f t="shared" si="137"/>
        <v>0</v>
      </c>
      <c r="CA206" s="45">
        <f t="shared" si="138"/>
        <v>0</v>
      </c>
      <c r="CB206" s="45">
        <f t="shared" si="139"/>
        <v>0</v>
      </c>
      <c r="CC206" s="576">
        <f>CB206</f>
        <v>0</v>
      </c>
      <c r="CD206" s="4"/>
      <c r="CE206" s="4"/>
      <c r="CF206" s="4"/>
      <c r="CG206" s="4"/>
      <c r="CH206" s="4"/>
      <c r="CI206" s="13"/>
    </row>
    <row r="207" spans="1:87" ht="18" customHeight="1">
      <c r="A207" s="1378" t="s">
        <v>10</v>
      </c>
      <c r="B207" s="12"/>
      <c r="C207" s="12"/>
      <c r="D207" s="1379" t="s">
        <v>7</v>
      </c>
      <c r="E207" s="1389">
        <f>IF(H207&gt;0,$CE$185+$CE$186,0)</f>
        <v>0</v>
      </c>
      <c r="F207" s="97"/>
      <c r="G207" s="1010" t="s">
        <v>59</v>
      </c>
      <c r="H207" s="1390">
        <f>IF(B202=0,0,SUBTOTAL(3,B202))</f>
        <v>0</v>
      </c>
      <c r="I207" s="1385" t="s">
        <v>22</v>
      </c>
      <c r="J207" s="1010" t="s">
        <v>59</v>
      </c>
      <c r="K207" s="51">
        <f>IF(H207&gt;0,K204,0)</f>
        <v>0</v>
      </c>
      <c r="L207" s="52" t="s">
        <v>5</v>
      </c>
      <c r="M207" s="1527" t="s">
        <v>122</v>
      </c>
      <c r="N207" s="1548">
        <f>IF(O207=0,0,"―")</f>
        <v>0</v>
      </c>
      <c r="O207" s="1525">
        <f>IF(H207=0,0,IF(BY209=0,IF($D$94=7,BZ208,IF($D$94=5,CA208,IF($D$94=2,CB208,CC208))),IF($D$94=7,BZ208+BZ209,IF($D$94=5,CA208+CA209,IF($D$94=2,CB208+CB209,CC208+CC209)))))</f>
        <v>0</v>
      </c>
      <c r="P207" s="1525"/>
      <c r="Q207" s="1392" t="s">
        <v>14</v>
      </c>
      <c r="R207" s="1391">
        <f>IF(H207&gt;0,IF(K204=0,0,ROUNDDOWN(((E207*H207)*K207/K208)-O207,0)),0)</f>
        <v>0</v>
      </c>
      <c r="S207" s="1520" t="s">
        <v>6</v>
      </c>
      <c r="T207" s="1321" t="s">
        <v>32</v>
      </c>
      <c r="U207" s="1586">
        <f>IF($L$264=$A$264,"限度超過!",U205)</f>
        <v>0</v>
      </c>
      <c r="V207" s="1509" t="s">
        <v>6</v>
      </c>
      <c r="W207" s="30" t="s">
        <v>37</v>
      </c>
      <c r="X207" s="29">
        <f t="shared" si="136"/>
        <v>0</v>
      </c>
      <c r="Y207" s="1313" t="s">
        <v>44</v>
      </c>
      <c r="Z207" s="1420">
        <f>IF($AH$13&gt;0,0,BB207)</f>
        <v>0</v>
      </c>
      <c r="AB207" s="4"/>
      <c r="AC207" s="489"/>
      <c r="AD207" s="4"/>
      <c r="AE207" s="497" t="str">
        <f>IF($AG$2&gt;0,"限度超過",IF(X203+X204+X205+X206+X207+X208+Z203+Z204+Z205+Z206=Z207,"OK","エラー"))</f>
        <v>OK</v>
      </c>
      <c r="AF207" s="1508">
        <f>IF(H207&gt;0,IF(K204=0,0,ROUNDDOWN((E207*H207)-O207,0)),0)</f>
        <v>0</v>
      </c>
      <c r="AG207" s="4"/>
      <c r="AI207" s="174"/>
      <c r="AJ207" s="174"/>
      <c r="AK207" s="174"/>
      <c r="AL207" s="174"/>
      <c r="AM207" s="174"/>
      <c r="AN207" s="173"/>
      <c r="AO207" s="126" t="s">
        <v>37</v>
      </c>
      <c r="AP207" s="344">
        <f>ROUND(AP30*AQ202,0)</f>
        <v>0</v>
      </c>
      <c r="AQ207" s="352" t="s">
        <v>44</v>
      </c>
      <c r="AR207" s="346">
        <f>AP203+AP204+AP205+AP206+AP207+AP208+AR203+AR204+AR205+AR206</f>
        <v>0</v>
      </c>
      <c r="AS207" s="350"/>
      <c r="AT207" s="126" t="s">
        <v>37</v>
      </c>
      <c r="AU207" s="344">
        <f>IF(AV202=0,0,IF(AV202&gt;=6,1,IF(AV202&lt;=-6,-1,0)))</f>
        <v>0</v>
      </c>
      <c r="AV207" s="352" t="s">
        <v>44</v>
      </c>
      <c r="AW207" s="353">
        <f>AU203+AU204+AU205+AU206+AU207+AU208+AW203+AW204+AW205+AW206</f>
        <v>0</v>
      </c>
      <c r="AX207" s="318"/>
      <c r="AY207" s="262" t="s">
        <v>37</v>
      </c>
      <c r="AZ207" s="372">
        <f t="shared" si="132"/>
        <v>0</v>
      </c>
      <c r="BA207" s="320" t="s">
        <v>44</v>
      </c>
      <c r="BB207" s="417">
        <f>IF($AG$2&gt;0,"限度超過",AZ203+AZ204+AZ205+AZ206+AZ207+AZ208+BB203+BB204+BB205+BB206)</f>
        <v>0</v>
      </c>
      <c r="BC207" s="318"/>
      <c r="BD207" s="448" t="s">
        <v>37</v>
      </c>
      <c r="BE207" s="81">
        <f t="shared" si="133"/>
        <v>0</v>
      </c>
      <c r="BF207" s="440" t="s">
        <v>44</v>
      </c>
      <c r="BG207" s="29">
        <f>IF($A$176=$L$176,"限度超過",BE203+BE204+BE205+BE206+BE207+BE208+BG203+BG204+BG205+BG206)</f>
        <v>0</v>
      </c>
      <c r="BH207" s="12"/>
      <c r="BI207" s="30" t="s">
        <v>37</v>
      </c>
      <c r="BJ207" s="29">
        <f t="shared" si="134"/>
        <v>0</v>
      </c>
      <c r="BK207" s="98" t="s">
        <v>44</v>
      </c>
      <c r="BL207" s="29">
        <f>IF($A$176=$L$176,"限度超過",BJ203+BJ204+BJ205+BJ206+BJ207+BJ208+BL203+BL204+BL205+BL206)</f>
        <v>0</v>
      </c>
      <c r="BM207" s="12"/>
      <c r="BN207" s="30" t="s">
        <v>37</v>
      </c>
      <c r="BO207" s="29">
        <f t="shared" si="135"/>
        <v>0</v>
      </c>
      <c r="BP207" s="98" t="s">
        <v>44</v>
      </c>
      <c r="BQ207" s="29">
        <f>IF($A$176=$L$176,"限度超過",BO203+BO204+BO205+BO206+BO207+BO208+BQ203+BQ204+BQ205+BQ206)</f>
        <v>0</v>
      </c>
      <c r="BR207" s="446"/>
      <c r="BS207" s="12"/>
      <c r="BT207" s="12"/>
      <c r="BU207" s="12"/>
      <c r="BV207" s="12"/>
      <c r="BW207" s="12"/>
      <c r="BX207" s="32" t="s">
        <v>26</v>
      </c>
      <c r="BY207" s="26">
        <f>H207</f>
        <v>0</v>
      </c>
      <c r="BZ207" s="99">
        <f t="shared" si="137"/>
        <v>0</v>
      </c>
      <c r="CA207" s="99">
        <f t="shared" si="138"/>
        <v>0</v>
      </c>
      <c r="CB207" s="99">
        <f t="shared" si="139"/>
        <v>0</v>
      </c>
      <c r="CC207" s="576">
        <f>CB207</f>
        <v>0</v>
      </c>
      <c r="CD207" s="4"/>
      <c r="CE207" s="4"/>
      <c r="CF207" s="4"/>
      <c r="CG207" s="4"/>
      <c r="CH207" s="4"/>
      <c r="CI207" s="13"/>
    </row>
    <row r="208" spans="1:87" ht="18" customHeight="1">
      <c r="A208" s="1378"/>
      <c r="B208" s="12"/>
      <c r="C208" s="12"/>
      <c r="D208" s="1379"/>
      <c r="E208" s="1389"/>
      <c r="F208" s="12"/>
      <c r="G208" s="1010"/>
      <c r="H208" s="1390"/>
      <c r="I208" s="1385"/>
      <c r="J208" s="1010"/>
      <c r="K208" s="180">
        <f>IF(H207&gt;0,K205,0)</f>
        <v>0</v>
      </c>
      <c r="L208" s="12" t="s">
        <v>5</v>
      </c>
      <c r="M208" s="1527"/>
      <c r="N208" s="1548"/>
      <c r="O208" s="1525"/>
      <c r="P208" s="1525"/>
      <c r="Q208" s="1392"/>
      <c r="R208" s="1391"/>
      <c r="S208" s="1520"/>
      <c r="T208" s="1582"/>
      <c r="U208" s="1587"/>
      <c r="V208" s="1510"/>
      <c r="W208" s="30" t="s">
        <v>38</v>
      </c>
      <c r="X208" s="29">
        <f t="shared" si="136"/>
        <v>0</v>
      </c>
      <c r="Y208" s="1422"/>
      <c r="Z208" s="1421"/>
      <c r="AA208" s="73"/>
      <c r="AB208" s="73"/>
      <c r="AC208" s="223"/>
      <c r="AD208" s="73"/>
      <c r="AE208" s="73"/>
      <c r="AF208" s="1559"/>
      <c r="AG208" s="73"/>
      <c r="AH208" s="189"/>
      <c r="AI208" s="175"/>
      <c r="AJ208" s="175"/>
      <c r="AK208" s="175"/>
      <c r="AL208" s="175"/>
      <c r="AM208" s="175"/>
      <c r="AN208" s="174"/>
      <c r="AO208" s="126" t="s">
        <v>38</v>
      </c>
      <c r="AP208" s="344">
        <f>ROUND(AP31*AQ202,0)</f>
        <v>0</v>
      </c>
      <c r="AQ208" s="351" t="s">
        <v>75</v>
      </c>
      <c r="AR208" s="330">
        <f>IF($AG$2&gt;0,"限度超過",U207)</f>
        <v>0</v>
      </c>
      <c r="AS208" s="347"/>
      <c r="AT208" s="126" t="s">
        <v>38</v>
      </c>
      <c r="AU208" s="344">
        <f>IF(AV202=0,0,IF(AV202&gt;=5,1,IF(AV202&lt;=-5,-1,0)))</f>
        <v>0</v>
      </c>
      <c r="AV208" s="351"/>
      <c r="AW208" s="354" t="str">
        <f>IF(AU203+AU204+AU205+AU206+AU207+AU208+AW203+AW204+AW205+AW206=AV202,"計算ＯＫ","エラー発生")</f>
        <v>計算ＯＫ</v>
      </c>
      <c r="AX208" s="318"/>
      <c r="AY208" s="262" t="s">
        <v>38</v>
      </c>
      <c r="AZ208" s="372">
        <f t="shared" si="132"/>
        <v>0</v>
      </c>
      <c r="BA208" s="319"/>
      <c r="BB208" s="418">
        <f>IF($AG$2&gt;0,"限度超過",IF($A$264=$L$264,"限度超過",$U$207))</f>
        <v>0</v>
      </c>
      <c r="BC208" s="318"/>
      <c r="BD208" s="448" t="s">
        <v>38</v>
      </c>
      <c r="BE208" s="81">
        <f t="shared" si="133"/>
        <v>0</v>
      </c>
      <c r="BF208" s="82"/>
      <c r="BG208" s="100"/>
      <c r="BH208" s="12"/>
      <c r="BI208" s="30" t="s">
        <v>38</v>
      </c>
      <c r="BJ208" s="29">
        <f t="shared" si="134"/>
        <v>0</v>
      </c>
      <c r="BK208" s="30"/>
      <c r="BL208" s="100"/>
      <c r="BM208" s="12"/>
      <c r="BN208" s="30" t="s">
        <v>38</v>
      </c>
      <c r="BO208" s="29">
        <f t="shared" si="135"/>
        <v>0</v>
      </c>
      <c r="BP208" s="30"/>
      <c r="BQ208" s="100"/>
      <c r="BR208" s="446"/>
      <c r="BS208" s="12"/>
      <c r="BT208" s="12"/>
      <c r="BU208" s="12"/>
      <c r="BV208" s="12"/>
      <c r="BW208" s="12"/>
      <c r="BX208" s="67" t="s">
        <v>27</v>
      </c>
      <c r="BY208" s="45">
        <f>IF(BY207&gt;0,ROUNDDOWN(BY204*BY207*BY205/BY206,0),0)</f>
        <v>0</v>
      </c>
      <c r="BZ208" s="45">
        <f>IF(BZ207&gt;0,ROUNDDOWN(BZ204*BZ207*BZ205/BZ206,0),0)</f>
        <v>0</v>
      </c>
      <c r="CA208" s="45">
        <f>IF(CA207&gt;0,ROUNDDOWN(CA204*CA207*CA205/CA206,0),0)</f>
        <v>0</v>
      </c>
      <c r="CB208" s="45">
        <f>IF(CB207&gt;0,ROUNDDOWN(CB204*CB207*CB205/CB206,0),0)</f>
        <v>0</v>
      </c>
      <c r="CC208" s="576">
        <v>0</v>
      </c>
      <c r="CD208" s="4"/>
      <c r="CE208" s="4"/>
      <c r="CF208" s="4"/>
      <c r="CG208" s="4"/>
      <c r="CH208" s="4"/>
      <c r="CI208" s="13"/>
    </row>
    <row r="209" spans="1:87" ht="18" customHeight="1">
      <c r="A209" s="626"/>
      <c r="B209" s="75" t="s">
        <v>118</v>
      </c>
      <c r="C209" s="12"/>
      <c r="D209" s="629"/>
      <c r="E209" s="630"/>
      <c r="F209" s="12"/>
      <c r="G209" s="620"/>
      <c r="H209" s="632"/>
      <c r="I209" s="633"/>
      <c r="J209" s="620"/>
      <c r="K209" s="180"/>
      <c r="L209" s="12"/>
      <c r="M209" s="636"/>
      <c r="N209" s="636"/>
      <c r="O209" s="631"/>
      <c r="P209" s="631"/>
      <c r="Q209" s="628"/>
      <c r="R209" s="637"/>
      <c r="S209" s="641"/>
      <c r="T209" s="620"/>
      <c r="U209" s="182"/>
      <c r="V209" s="620"/>
      <c r="W209" s="4"/>
      <c r="X209" s="26"/>
      <c r="Y209" s="170"/>
      <c r="Z209" s="185"/>
      <c r="AA209" s="26"/>
      <c r="AB209" s="26"/>
      <c r="AC209" s="491"/>
      <c r="AD209" s="26"/>
      <c r="AE209" s="634"/>
      <c r="AF209" s="234"/>
      <c r="AG209" s="26"/>
      <c r="AH209" s="26"/>
      <c r="AI209" s="173"/>
      <c r="AJ209" s="179"/>
      <c r="AK209" s="179"/>
      <c r="AL209" s="179"/>
      <c r="AM209" s="179"/>
      <c r="AN209" s="174"/>
      <c r="AO209" s="348"/>
      <c r="AP209" s="348"/>
      <c r="AQ209" s="349"/>
      <c r="AR209" s="349"/>
      <c r="AS209" s="347"/>
      <c r="AT209" s="347"/>
      <c r="AU209" s="347"/>
      <c r="AV209" s="347"/>
      <c r="AW209" s="347"/>
      <c r="AX209" s="318"/>
      <c r="AY209" s="419"/>
      <c r="AZ209" s="348"/>
      <c r="BA209" s="349"/>
      <c r="BB209" s="464" t="str">
        <f>IF(BB207=BB208,"OK","エラー")</f>
        <v>OK</v>
      </c>
      <c r="BC209" s="318"/>
      <c r="BD209" s="449"/>
      <c r="BF209" s="4" t="s">
        <v>206</v>
      </c>
      <c r="BH209" s="12"/>
      <c r="BM209" s="12"/>
      <c r="BR209" s="446"/>
      <c r="BS209" s="12"/>
      <c r="BT209" s="12"/>
      <c r="BU209" s="12"/>
      <c r="BV209" s="12"/>
      <c r="BW209" s="12"/>
      <c r="BX209" s="32" t="s">
        <v>340</v>
      </c>
      <c r="BY209" s="576">
        <f>IF(入力画面!E22=1,1,0)</f>
        <v>0</v>
      </c>
      <c r="BZ209" s="576">
        <f>IF($BY$209=1,ROUNDDOWN($CF$190*BZ205/BZ206,0),0)</f>
        <v>0</v>
      </c>
      <c r="CA209" s="576">
        <f>IF($BY$209=1,ROUNDDOWN($CG$190*CA205/CA206,0),0)</f>
        <v>0</v>
      </c>
      <c r="CB209" s="576">
        <f>IF($BY$209=1,ROUNDDOWN($CH$190*CB205/CB206,0),0)</f>
        <v>0</v>
      </c>
      <c r="CC209" s="576">
        <f>IF($BY$209=1,ROUNDDOWN($CE$190*CC205/CC206,0),0)</f>
        <v>0</v>
      </c>
      <c r="CD209" s="4"/>
      <c r="CE209" s="4"/>
      <c r="CF209" s="4"/>
      <c r="CG209" s="4"/>
      <c r="CH209" s="4"/>
      <c r="CI209" s="13"/>
    </row>
    <row r="210" spans="1:87" ht="18" customHeight="1">
      <c r="A210" s="58" t="s">
        <v>1</v>
      </c>
      <c r="B210" s="52"/>
      <c r="C210" s="187">
        <f>IF(H207&gt;0,$X$190,0)</f>
        <v>0</v>
      </c>
      <c r="D210" s="201" t="s">
        <v>6</v>
      </c>
      <c r="E210" s="60" t="s">
        <v>59</v>
      </c>
      <c r="F210" s="1377">
        <f>K204</f>
        <v>0</v>
      </c>
      <c r="G210" s="1377"/>
      <c r="H210" s="214" t="s">
        <v>5</v>
      </c>
      <c r="I210" s="1388" t="s">
        <v>14</v>
      </c>
      <c r="J210" s="1388"/>
      <c r="K210" s="1377">
        <f>C210*F210</f>
        <v>0</v>
      </c>
      <c r="L210" s="1377"/>
      <c r="M210" s="202" t="s">
        <v>6</v>
      </c>
      <c r="N210" s="202"/>
      <c r="O210" s="203"/>
      <c r="P210" s="203"/>
      <c r="Q210" s="63"/>
      <c r="R210" s="204"/>
      <c r="S210" s="59"/>
      <c r="T210" s="622"/>
      <c r="U210" s="205"/>
      <c r="V210" s="622"/>
      <c r="W210" s="186"/>
      <c r="X210" s="187"/>
      <c r="Y210" s="206"/>
      <c r="Z210" s="642"/>
      <c r="AA210" s="26"/>
      <c r="AB210" s="26"/>
      <c r="AC210" s="491"/>
      <c r="AD210" s="26"/>
      <c r="AE210" s="634"/>
      <c r="AF210" s="235"/>
      <c r="AG210" s="26"/>
      <c r="AH210" s="26"/>
      <c r="AI210" s="173"/>
      <c r="AJ210" s="179"/>
      <c r="AK210" s="179"/>
      <c r="AL210" s="179"/>
      <c r="AM210" s="179"/>
      <c r="AN210" s="175"/>
      <c r="AO210" s="1407" t="s">
        <v>427</v>
      </c>
      <c r="AP210" s="1407"/>
      <c r="AQ210" s="1407"/>
      <c r="AR210" s="1407"/>
      <c r="AS210" s="347"/>
      <c r="AT210" s="1406" t="s">
        <v>416</v>
      </c>
      <c r="AU210" s="1406"/>
      <c r="AV210" s="347"/>
      <c r="AW210" s="347"/>
      <c r="AX210" s="318"/>
      <c r="AY210" s="1405" t="s">
        <v>416</v>
      </c>
      <c r="AZ210" s="1406"/>
      <c r="BA210" s="349"/>
      <c r="BB210" s="421"/>
      <c r="BC210" s="318"/>
      <c r="BD210" s="1453" t="s">
        <v>227</v>
      </c>
      <c r="BE210" s="1430"/>
      <c r="BF210" s="4" t="s">
        <v>258</v>
      </c>
      <c r="BH210" s="12"/>
      <c r="BI210" s="1430" t="s">
        <v>227</v>
      </c>
      <c r="BJ210" s="1430"/>
      <c r="BM210" s="12"/>
      <c r="BN210" s="1430" t="s">
        <v>227</v>
      </c>
      <c r="BO210" s="1430"/>
      <c r="BR210" s="446"/>
      <c r="BS210" s="12"/>
      <c r="BT210" s="12"/>
      <c r="BU210" s="12"/>
      <c r="BV210" s="12"/>
      <c r="BW210" s="12"/>
      <c r="BX210" s="4"/>
      <c r="BY210" s="26"/>
      <c r="BZ210" s="26"/>
      <c r="CA210" s="26"/>
      <c r="CB210" s="26"/>
      <c r="CC210" s="4"/>
      <c r="CD210" s="4"/>
      <c r="CE210" s="4"/>
      <c r="CF210" s="4"/>
      <c r="CG210" s="4"/>
      <c r="CH210" s="4"/>
      <c r="CI210" s="13"/>
    </row>
    <row r="211" spans="1:87" ht="18" customHeight="1">
      <c r="D211" s="101"/>
      <c r="E211" s="640"/>
      <c r="G211" s="9"/>
      <c r="H211" s="102"/>
      <c r="I211" s="643"/>
      <c r="J211" s="9"/>
      <c r="K211" s="18"/>
      <c r="M211" s="103"/>
      <c r="P211" s="103"/>
      <c r="Q211" s="640"/>
      <c r="R211" s="104"/>
      <c r="S211" s="68"/>
      <c r="T211" s="68"/>
      <c r="U211" s="68"/>
      <c r="V211" s="18"/>
      <c r="AA211" s="26"/>
      <c r="AB211" s="26"/>
      <c r="AC211" s="491"/>
      <c r="AD211" s="26"/>
      <c r="AE211" s="634"/>
      <c r="AF211" s="231"/>
      <c r="AG211" s="26"/>
      <c r="AH211" s="26"/>
      <c r="AI211" s="173"/>
      <c r="AJ211" s="173"/>
      <c r="AK211" s="173"/>
      <c r="AL211" s="173"/>
      <c r="AM211" s="173"/>
      <c r="AN211" s="173"/>
      <c r="AO211" s="367" t="s">
        <v>217</v>
      </c>
      <c r="AP211" s="1401"/>
      <c r="AQ211" s="1401"/>
      <c r="AR211" s="1401"/>
      <c r="AS211" s="369"/>
      <c r="AT211" s="1413" t="s">
        <v>218</v>
      </c>
      <c r="AU211" s="1413"/>
      <c r="AV211" s="1413"/>
      <c r="AW211" s="1413"/>
      <c r="AX211" s="318"/>
      <c r="AY211" s="416" t="s">
        <v>224</v>
      </c>
      <c r="AZ211" s="1448" t="s">
        <v>223</v>
      </c>
      <c r="BA211" s="1448"/>
      <c r="BB211" s="1449"/>
      <c r="BC211" s="318"/>
      <c r="BD211" s="1426" t="s">
        <v>261</v>
      </c>
      <c r="BE211" s="1427"/>
      <c r="BF211" s="1427"/>
      <c r="BG211" s="1427"/>
      <c r="BH211" s="12"/>
      <c r="BI211" s="437" t="s">
        <v>262</v>
      </c>
      <c r="BJ211" s="1438" t="s">
        <v>260</v>
      </c>
      <c r="BK211" s="1438"/>
      <c r="BL211" s="1438"/>
      <c r="BM211" s="12"/>
      <c r="BN211" s="12"/>
      <c r="BO211" s="143" t="s">
        <v>263</v>
      </c>
      <c r="BP211" s="12" t="s">
        <v>88</v>
      </c>
      <c r="BQ211" s="12"/>
      <c r="BR211" s="446"/>
      <c r="BS211" s="12"/>
      <c r="BT211" s="12"/>
      <c r="BU211" s="12"/>
      <c r="BV211" s="12"/>
      <c r="BW211" s="12"/>
      <c r="BX211" s="4"/>
      <c r="BY211" s="4"/>
      <c r="BZ211" s="4"/>
      <c r="CA211" s="4"/>
      <c r="CB211" s="4"/>
      <c r="CC211" s="4"/>
      <c r="CD211" s="4"/>
      <c r="CE211" s="4"/>
      <c r="CF211" s="4"/>
      <c r="CG211" s="4"/>
      <c r="CH211" s="4"/>
      <c r="CI211" s="13"/>
    </row>
    <row r="212" spans="1:87" ht="18" customHeight="1">
      <c r="A212" s="194" t="s">
        <v>53</v>
      </c>
      <c r="B212" s="1396">
        <f>IF(I213=1,B35,0)</f>
        <v>0</v>
      </c>
      <c r="C212" s="1396"/>
      <c r="D212" s="1396"/>
      <c r="E212" s="644" t="s">
        <v>11</v>
      </c>
      <c r="F212" s="1398" t="s">
        <v>57</v>
      </c>
      <c r="G212" s="1398"/>
      <c r="H212" s="1399"/>
      <c r="I212" s="1380">
        <f>IF(I124=1,1,0)</f>
        <v>0</v>
      </c>
      <c r="J212" s="1381"/>
      <c r="K212" s="1515">
        <f>IF(H217=0,0,IF($K$185=0, "加入月が未入力です!！",IF($L$176=$A$176,"限度超過額に達しているため計算不可能!!",IF(U214-U213=U215,"エラー名前を入力されているが加入月未入力!！",IF(H217&gt;K214,"加入月未入力エラー!！",0)))))</f>
        <v>0</v>
      </c>
      <c r="L212" s="1516"/>
      <c r="M212" s="1516"/>
      <c r="N212" s="1516"/>
      <c r="O212" s="1516"/>
      <c r="P212" s="1516"/>
      <c r="Q212" s="1516"/>
      <c r="R212" s="1516"/>
      <c r="S212" s="1517"/>
      <c r="T212" s="623" t="s">
        <v>47</v>
      </c>
      <c r="U212" s="1605">
        <f>IF(U217&gt;0,"子ども・子育て分",0)</f>
        <v>0</v>
      </c>
      <c r="V212" s="1606"/>
      <c r="W212" s="1419" t="s">
        <v>46</v>
      </c>
      <c r="X212" s="1278"/>
      <c r="Y212" s="1278"/>
      <c r="Z212" s="1279"/>
      <c r="AA212" s="26"/>
      <c r="AB212" s="26"/>
      <c r="AC212" s="491"/>
      <c r="AD212" s="26"/>
      <c r="AE212" s="634"/>
      <c r="AF212" s="236" t="s">
        <v>117</v>
      </c>
      <c r="AG212" s="26"/>
      <c r="AH212" s="274">
        <f>IF(K214=0,0,IF(K214&lt;12,1,0))</f>
        <v>0</v>
      </c>
      <c r="AI212" s="173"/>
      <c r="AJ212" s="173"/>
      <c r="AK212" s="173"/>
      <c r="AL212" s="173"/>
      <c r="AM212" s="173"/>
      <c r="AN212" s="366" t="s">
        <v>53</v>
      </c>
      <c r="AO212" s="1319" t="s">
        <v>220</v>
      </c>
      <c r="AP212" s="1402"/>
      <c r="AQ212" s="1403">
        <f>IF(AR40=0,0,ROUNDDOWN(AR218/AR40,8))</f>
        <v>0</v>
      </c>
      <c r="AR212" s="1404"/>
      <c r="AS212" s="370"/>
      <c r="AT212" s="1319" t="s">
        <v>213</v>
      </c>
      <c r="AU212" s="1402"/>
      <c r="AV212" s="1411">
        <f>IF($AG$2&gt;0,0,AR218-AR217)</f>
        <v>0</v>
      </c>
      <c r="AW212" s="1412"/>
      <c r="AX212" s="318"/>
      <c r="AY212" s="1408" t="s">
        <v>46</v>
      </c>
      <c r="AZ212" s="1402"/>
      <c r="BA212" s="1450">
        <f>IF(R214+R217=0,0,IF(K215&gt;K214,"期割がアンマッチ使用禁止↓",0))</f>
        <v>0</v>
      </c>
      <c r="BB212" s="1451"/>
      <c r="BC212" s="318"/>
      <c r="BD212" s="1435" t="s">
        <v>46</v>
      </c>
      <c r="BE212" s="1434"/>
      <c r="BF212" s="1436" t="s">
        <v>87</v>
      </c>
      <c r="BG212" s="1437"/>
      <c r="BH212" s="12"/>
      <c r="BI212" s="1253" t="s">
        <v>89</v>
      </c>
      <c r="BJ212" s="1434"/>
      <c r="BK212" s="438"/>
      <c r="BL212" s="439"/>
      <c r="BM212" s="12"/>
      <c r="BN212" s="1253" t="s">
        <v>46</v>
      </c>
      <c r="BO212" s="1434"/>
      <c r="BP212" s="1431"/>
      <c r="BQ212" s="1433"/>
      <c r="BR212" s="446"/>
      <c r="BS212" s="12"/>
      <c r="BT212" s="12"/>
      <c r="BU212" s="12"/>
      <c r="BV212" s="12"/>
      <c r="BW212" s="12"/>
      <c r="BX212" s="4"/>
      <c r="BY212" s="4"/>
      <c r="BZ212" s="4"/>
      <c r="CA212" s="4"/>
      <c r="CB212" s="4"/>
      <c r="CC212" s="4"/>
      <c r="CD212" s="4"/>
      <c r="CE212" s="4"/>
      <c r="CF212" s="4"/>
      <c r="CG212" s="4"/>
      <c r="CH212" s="4"/>
      <c r="CI212" s="13"/>
    </row>
    <row r="213" spans="1:87" ht="18" customHeight="1">
      <c r="A213" s="165"/>
      <c r="B213" s="12"/>
      <c r="C213" s="75" t="s">
        <v>33</v>
      </c>
      <c r="D213" s="12"/>
      <c r="E213" s="12"/>
      <c r="F213" s="1394" t="s">
        <v>433</v>
      </c>
      <c r="G213" s="1394"/>
      <c r="H213" s="1394"/>
      <c r="I213" s="1386">
        <f>IF(I125=1,1,0)</f>
        <v>0</v>
      </c>
      <c r="J213" s="1387"/>
      <c r="K213" s="76" t="s">
        <v>9</v>
      </c>
      <c r="L213" s="12"/>
      <c r="M213" s="1551"/>
      <c r="N213" s="1551"/>
      <c r="O213" s="1551"/>
      <c r="P213" s="1551"/>
      <c r="Q213" s="1551"/>
      <c r="R213" s="1551"/>
      <c r="S213" s="1552"/>
      <c r="T213" s="72" t="s">
        <v>30</v>
      </c>
      <c r="U213" s="105">
        <f>R214+R217</f>
        <v>0</v>
      </c>
      <c r="V213" s="88" t="s">
        <v>6</v>
      </c>
      <c r="W213" s="80" t="s">
        <v>34</v>
      </c>
      <c r="X213" s="29">
        <f t="shared" ref="X213:X218" si="140">IF($AH$13&gt;0,0,AZ213)</f>
        <v>0</v>
      </c>
      <c r="Y213" s="80" t="s">
        <v>39</v>
      </c>
      <c r="Z213" s="31">
        <f>IF($AH$13&gt;0,0,BB213)</f>
        <v>0</v>
      </c>
      <c r="AA213" s="26"/>
      <c r="AB213" s="26"/>
      <c r="AC213" s="491"/>
      <c r="AD213" s="26"/>
      <c r="AE213" s="634"/>
      <c r="AF213" s="217">
        <f>AF214+AF217+AF220</f>
        <v>0</v>
      </c>
      <c r="AG213" s="26"/>
      <c r="AH213" s="26"/>
      <c r="AI213" s="173"/>
      <c r="AJ213" s="173"/>
      <c r="AK213" s="173"/>
      <c r="AL213" s="173"/>
      <c r="AM213" s="173"/>
      <c r="AN213" s="173"/>
      <c r="AO213" s="126" t="s">
        <v>34</v>
      </c>
      <c r="AP213" s="344">
        <f>ROUND(AP36*AQ212,0)</f>
        <v>0</v>
      </c>
      <c r="AQ213" s="351" t="s">
        <v>39</v>
      </c>
      <c r="AR213" s="345">
        <f>ROUND(AR36*AQ212,0)</f>
        <v>0</v>
      </c>
      <c r="AS213" s="371"/>
      <c r="AT213" s="126" t="s">
        <v>34</v>
      </c>
      <c r="AU213" s="344">
        <f>IF(AV212=0,0,IF(AV212&gt;=10,1,IF(AV212&lt;=-10,-1,0)))</f>
        <v>0</v>
      </c>
      <c r="AV213" s="351" t="s">
        <v>39</v>
      </c>
      <c r="AW213" s="345">
        <f>IF(AV212=0,0,IF(AV212&gt;=4,1,IF(AV212&lt;=-4,-1,0)))</f>
        <v>0</v>
      </c>
      <c r="AX213" s="318"/>
      <c r="AY213" s="258" t="s">
        <v>34</v>
      </c>
      <c r="AZ213" s="372">
        <f t="shared" ref="AZ213:AZ218" si="141">IF($AG$2&gt;0,"限度超過",IF($A$176=$L$176,"限度超過",AP213+AU213))</f>
        <v>0</v>
      </c>
      <c r="BA213" s="319" t="s">
        <v>39</v>
      </c>
      <c r="BB213" s="127">
        <f>IF($AG$2&gt;0,"限度超過",IF($A$176=$L$176,"限度超過",AR213+AW213))</f>
        <v>0</v>
      </c>
      <c r="BC213" s="318"/>
      <c r="BD213" s="448" t="s">
        <v>34</v>
      </c>
      <c r="BE213" s="81">
        <f t="shared" ref="BE213:BE218" si="142">BE203</f>
        <v>0</v>
      </c>
      <c r="BF213" s="82" t="s">
        <v>39</v>
      </c>
      <c r="BG213" s="29">
        <f>BG203</f>
        <v>0</v>
      </c>
      <c r="BH213" s="12"/>
      <c r="BI213" s="80" t="s">
        <v>34</v>
      </c>
      <c r="BJ213" s="29">
        <f t="shared" ref="BJ213:BJ218" si="143">IF($A$176=$L$176,"限度超過",IF(BE213=0,0,BE213/$S$94))</f>
        <v>0</v>
      </c>
      <c r="BK213" s="80" t="s">
        <v>39</v>
      </c>
      <c r="BL213" s="29">
        <f>IF($A$176=$L$176,"限度超過",IF(BG213=0,0,BG213/$S$94))</f>
        <v>0</v>
      </c>
      <c r="BM213" s="12"/>
      <c r="BN213" s="30" t="s">
        <v>34</v>
      </c>
      <c r="BO213" s="29">
        <f t="shared" ref="BO213:BO218" si="144">IF($A$176=$L$176,"限度超過",IF($S$94&lt;=2,0,BJ213))</f>
        <v>0</v>
      </c>
      <c r="BP213" s="80" t="s">
        <v>39</v>
      </c>
      <c r="BQ213" s="29">
        <f>IF($A$176=$L$176,"限度超過",IF($S$94&lt;=2,0,BL213))</f>
        <v>0</v>
      </c>
      <c r="BR213" s="446"/>
      <c r="BS213" s="12"/>
      <c r="BT213" s="12"/>
      <c r="BU213" s="12"/>
      <c r="BV213" s="12"/>
      <c r="BW213" s="12"/>
      <c r="BX213" s="32"/>
      <c r="BY213" s="33" t="str">
        <f>BY203</f>
        <v>料率</v>
      </c>
      <c r="BZ213" s="33">
        <f>BZ203</f>
        <v>7</v>
      </c>
      <c r="CA213" s="33">
        <f>CA203</f>
        <v>5</v>
      </c>
      <c r="CB213" s="33">
        <f>CB203</f>
        <v>2</v>
      </c>
      <c r="CC213" s="576" t="s">
        <v>341</v>
      </c>
      <c r="CD213" s="4"/>
      <c r="CE213" s="4"/>
      <c r="CF213" s="4"/>
      <c r="CG213" s="4"/>
      <c r="CH213" s="4"/>
      <c r="CI213" s="13"/>
    </row>
    <row r="214" spans="1:87" ht="18" customHeight="1">
      <c r="A214" s="1378" t="s">
        <v>0</v>
      </c>
      <c r="B214" s="1556" t="s">
        <v>129</v>
      </c>
      <c r="C214" s="1382">
        <f>C37</f>
        <v>0</v>
      </c>
      <c r="D214" s="1010" t="s">
        <v>58</v>
      </c>
      <c r="E214" s="1389">
        <f>IF(H217&gt;0,$CE$100, 0)</f>
        <v>0</v>
      </c>
      <c r="F214" s="1395" t="s">
        <v>22</v>
      </c>
      <c r="G214" s="1010" t="s">
        <v>59</v>
      </c>
      <c r="H214" s="85">
        <f>IF(H217&gt;0,$CE$184,0)</f>
        <v>0</v>
      </c>
      <c r="I214" s="1385" t="s">
        <v>22</v>
      </c>
      <c r="J214" s="1010" t="s">
        <v>59</v>
      </c>
      <c r="K214" s="51">
        <f>入力画面!I25</f>
        <v>0</v>
      </c>
      <c r="L214" s="52" t="s">
        <v>5</v>
      </c>
      <c r="M214" s="1395"/>
      <c r="N214" s="1527"/>
      <c r="O214" s="636"/>
      <c r="P214" s="1392" t="s">
        <v>14</v>
      </c>
      <c r="Q214" s="1392"/>
      <c r="R214" s="1391">
        <f>ROUNDDOWN(IF(((C214-E214)*H214/H215)*K214/K215&lt;0,0,((C214-E214)*H214/H215)*K214/K215),0)</f>
        <v>0</v>
      </c>
      <c r="S214" s="1520" t="s">
        <v>6</v>
      </c>
      <c r="T214" s="72" t="s">
        <v>1</v>
      </c>
      <c r="U214" s="105">
        <f>IF(H217=0,0,K220)</f>
        <v>0</v>
      </c>
      <c r="V214" s="88" t="s">
        <v>6</v>
      </c>
      <c r="W214" s="30" t="s">
        <v>35</v>
      </c>
      <c r="X214" s="29">
        <f t="shared" si="140"/>
        <v>0</v>
      </c>
      <c r="Y214" s="30" t="s">
        <v>40</v>
      </c>
      <c r="Z214" s="31">
        <f>IF($AH$13&gt;0,0,BB214)</f>
        <v>0</v>
      </c>
      <c r="AA214" s="4"/>
      <c r="AB214" s="4"/>
      <c r="AC214" s="489"/>
      <c r="AD214" s="4"/>
      <c r="AE214" s="74"/>
      <c r="AF214" s="1423">
        <f>ROUNDDOWN(IF(((C214-E214)*H214/H215)&lt;0,0,((C214-E214)*H214/H215)),0)</f>
        <v>0</v>
      </c>
      <c r="AG214" s="4"/>
      <c r="AH214" s="4"/>
      <c r="AI214" s="174"/>
      <c r="AJ214" s="174"/>
      <c r="AK214" s="174"/>
      <c r="AL214" s="174"/>
      <c r="AM214" s="174"/>
      <c r="AN214" s="173"/>
      <c r="AO214" s="126" t="s">
        <v>35</v>
      </c>
      <c r="AP214" s="344">
        <f>ROUND(AP37*AQ212,0)</f>
        <v>0</v>
      </c>
      <c r="AQ214" s="351" t="s">
        <v>40</v>
      </c>
      <c r="AR214" s="345">
        <f>ROUND(AR37*AQ212,0)</f>
        <v>0</v>
      </c>
      <c r="AS214" s="371"/>
      <c r="AT214" s="126" t="s">
        <v>35</v>
      </c>
      <c r="AU214" s="344">
        <f>IF(AV212=0,0,IF(AV212&gt;=9,1,IF(AV212&lt;=-9,-1,0)))</f>
        <v>0</v>
      </c>
      <c r="AV214" s="351" t="s">
        <v>40</v>
      </c>
      <c r="AW214" s="345">
        <f>IF(AV212=0,0,IF(AV212&gt;=3,1,IF(AV212&lt;=-3,-1,0)))</f>
        <v>0</v>
      </c>
      <c r="AX214" s="318"/>
      <c r="AY214" s="262" t="s">
        <v>35</v>
      </c>
      <c r="AZ214" s="372">
        <f t="shared" si="141"/>
        <v>0</v>
      </c>
      <c r="BA214" s="319" t="s">
        <v>40</v>
      </c>
      <c r="BB214" s="127">
        <f>IF($AG$2&gt;0,"限度超過",IF($A$176=$L$176,"限度超過",AR214+AW214))</f>
        <v>0</v>
      </c>
      <c r="BC214" s="318"/>
      <c r="BD214" s="448" t="s">
        <v>35</v>
      </c>
      <c r="BE214" s="81">
        <f t="shared" si="142"/>
        <v>0</v>
      </c>
      <c r="BF214" s="82" t="s">
        <v>40</v>
      </c>
      <c r="BG214" s="29">
        <f>BG204</f>
        <v>0</v>
      </c>
      <c r="BH214" s="12"/>
      <c r="BI214" s="30" t="s">
        <v>35</v>
      </c>
      <c r="BJ214" s="29">
        <f t="shared" si="143"/>
        <v>0</v>
      </c>
      <c r="BK214" s="30" t="s">
        <v>40</v>
      </c>
      <c r="BL214" s="29">
        <f>IF($A$176=$L$176,"限度超過",IF(BG214=0,0,BG214/$S$94))</f>
        <v>0</v>
      </c>
      <c r="BM214" s="12"/>
      <c r="BN214" s="30" t="s">
        <v>35</v>
      </c>
      <c r="BO214" s="29">
        <f t="shared" si="144"/>
        <v>0</v>
      </c>
      <c r="BP214" s="30" t="s">
        <v>40</v>
      </c>
      <c r="BQ214" s="29">
        <f>IF($A$176=$L$176,"限度超過",IF($S$94&lt;=2,0,BL214))</f>
        <v>0</v>
      </c>
      <c r="BR214" s="446"/>
      <c r="BS214" s="12"/>
      <c r="BT214" s="12"/>
      <c r="BU214" s="12"/>
      <c r="BV214" s="12"/>
      <c r="BW214" s="12"/>
      <c r="BX214" s="32" t="s">
        <v>17</v>
      </c>
      <c r="BY214" s="44">
        <v>0</v>
      </c>
      <c r="BZ214" s="45">
        <f>$CF$185+$CF$186</f>
        <v>700</v>
      </c>
      <c r="CA214" s="45">
        <f>$CG$185+$CG$186</f>
        <v>500</v>
      </c>
      <c r="CB214" s="45">
        <f>$CH$185+$CH$186</f>
        <v>200</v>
      </c>
      <c r="CC214" s="576"/>
      <c r="CD214" s="4"/>
      <c r="CE214" s="4"/>
      <c r="CF214" s="4"/>
      <c r="CG214" s="4"/>
      <c r="CH214" s="4"/>
      <c r="CI214" s="13"/>
    </row>
    <row r="215" spans="1:87" ht="18" customHeight="1">
      <c r="A215" s="1378"/>
      <c r="B215" s="1556"/>
      <c r="C215" s="1382"/>
      <c r="D215" s="1010"/>
      <c r="E215" s="1389"/>
      <c r="F215" s="1395"/>
      <c r="G215" s="1010"/>
      <c r="H215" s="619">
        <v>100</v>
      </c>
      <c r="I215" s="1385"/>
      <c r="J215" s="1010"/>
      <c r="K215" s="55">
        <v>12</v>
      </c>
      <c r="L215" s="12" t="s">
        <v>5</v>
      </c>
      <c r="M215" s="1395"/>
      <c r="N215" s="1527"/>
      <c r="O215" s="636"/>
      <c r="P215" s="1392"/>
      <c r="Q215" s="1392"/>
      <c r="R215" s="1391"/>
      <c r="S215" s="1520"/>
      <c r="T215" s="72" t="s">
        <v>29</v>
      </c>
      <c r="U215" s="105">
        <f>U213+U214</f>
        <v>0</v>
      </c>
      <c r="V215" s="88" t="s">
        <v>6</v>
      </c>
      <c r="W215" s="30" t="s">
        <v>36</v>
      </c>
      <c r="X215" s="29">
        <f t="shared" si="140"/>
        <v>0</v>
      </c>
      <c r="Y215" s="30" t="s">
        <v>41</v>
      </c>
      <c r="Z215" s="31">
        <f>IF($AH$13&gt;0,0,BB215)</f>
        <v>0</v>
      </c>
      <c r="AB215" s="4"/>
      <c r="AC215" s="489"/>
      <c r="AD215" s="4"/>
      <c r="AE215" s="74"/>
      <c r="AF215" s="1424"/>
      <c r="AG215" s="4"/>
      <c r="AH215" s="4"/>
      <c r="AI215" s="174"/>
      <c r="AJ215" s="174"/>
      <c r="AK215" s="174"/>
      <c r="AL215" s="174"/>
      <c r="AM215" s="174"/>
      <c r="AN215" s="173"/>
      <c r="AO215" s="126" t="s">
        <v>36</v>
      </c>
      <c r="AP215" s="344">
        <f>ROUND(AP38*AQ212,0)</f>
        <v>0</v>
      </c>
      <c r="AQ215" s="351" t="s">
        <v>41</v>
      </c>
      <c r="AR215" s="345">
        <f>ROUND(AR38*AQ212,0)</f>
        <v>0</v>
      </c>
      <c r="AS215" s="350"/>
      <c r="AT215" s="126" t="s">
        <v>36</v>
      </c>
      <c r="AU215" s="344">
        <f>IF(AV212=0,0,IF(AV212&gt;=8,1,IF(AV212&lt;=-8,-1,0)))</f>
        <v>0</v>
      </c>
      <c r="AV215" s="351" t="s">
        <v>41</v>
      </c>
      <c r="AW215" s="345">
        <f>IF(AV212=0,0,IF(AV212&gt;=2,1,IF(AV212&lt;=-2,-1,0)))</f>
        <v>0</v>
      </c>
      <c r="AX215" s="318"/>
      <c r="AY215" s="262" t="s">
        <v>36</v>
      </c>
      <c r="AZ215" s="372">
        <f t="shared" si="141"/>
        <v>0</v>
      </c>
      <c r="BA215" s="319" t="s">
        <v>41</v>
      </c>
      <c r="BB215" s="127">
        <f>IF($AG$2&gt;0,"限度超過",IF($A$176=$L$176,"限度超過",AR215+AW215))</f>
        <v>0</v>
      </c>
      <c r="BC215" s="318"/>
      <c r="BD215" s="448" t="s">
        <v>36</v>
      </c>
      <c r="BE215" s="81">
        <f t="shared" si="142"/>
        <v>0</v>
      </c>
      <c r="BF215" s="82" t="s">
        <v>41</v>
      </c>
      <c r="BG215" s="29">
        <f>BG205</f>
        <v>0</v>
      </c>
      <c r="BH215" s="12"/>
      <c r="BI215" s="30" t="s">
        <v>36</v>
      </c>
      <c r="BJ215" s="29">
        <f t="shared" si="143"/>
        <v>0</v>
      </c>
      <c r="BK215" s="30" t="s">
        <v>41</v>
      </c>
      <c r="BL215" s="29">
        <f>IF($A$176=$L$176,"限度超過",IF(BG215=0,0,BG215/$S$94))</f>
        <v>0</v>
      </c>
      <c r="BM215" s="12"/>
      <c r="BN215" s="30" t="s">
        <v>36</v>
      </c>
      <c r="BO215" s="29">
        <f t="shared" si="144"/>
        <v>0</v>
      </c>
      <c r="BP215" s="30" t="s">
        <v>41</v>
      </c>
      <c r="BQ215" s="29">
        <f>IF($A$176=$L$176,"限度超過",IF($S$94&lt;=2,0,BL215))</f>
        <v>0</v>
      </c>
      <c r="BR215" s="446"/>
      <c r="BS215" s="12"/>
      <c r="BT215" s="12"/>
      <c r="BU215" s="12"/>
      <c r="BV215" s="12"/>
      <c r="BW215" s="12"/>
      <c r="BX215" s="32" t="s">
        <v>8</v>
      </c>
      <c r="BY215" s="45">
        <f>K217</f>
        <v>0</v>
      </c>
      <c r="BZ215" s="45">
        <f t="shared" ref="BZ215:BZ217" si="145">BY215</f>
        <v>0</v>
      </c>
      <c r="CA215" s="45">
        <f t="shared" ref="CA215:CA217" si="146">BZ215</f>
        <v>0</v>
      </c>
      <c r="CB215" s="45">
        <f t="shared" ref="CB215:CB217" si="147">CA215</f>
        <v>0</v>
      </c>
      <c r="CC215" s="576">
        <f>CB215</f>
        <v>0</v>
      </c>
      <c r="CD215" s="4"/>
      <c r="CE215" s="4"/>
      <c r="CF215" s="4"/>
      <c r="CG215" s="4"/>
      <c r="CH215" s="4"/>
      <c r="CI215" s="13"/>
    </row>
    <row r="216" spans="1:87" ht="18" customHeight="1">
      <c r="A216" s="165"/>
      <c r="B216" s="12"/>
      <c r="C216" s="620"/>
      <c r="D216" s="12"/>
      <c r="E216" s="12"/>
      <c r="F216" s="12"/>
      <c r="G216" s="12"/>
      <c r="H216" s="91"/>
      <c r="I216" s="75"/>
      <c r="J216" s="75"/>
      <c r="K216" s="92"/>
      <c r="L216" s="75"/>
      <c r="M216" s="93"/>
      <c r="N216" s="578">
        <f>IF(入力画面!E120=1,"未就学児",0)</f>
        <v>0</v>
      </c>
      <c r="O216" s="42">
        <f>IF(H217=0,0,$D$94)</f>
        <v>0</v>
      </c>
      <c r="P216" s="463">
        <f>IF(O217=0,0,"軽減額")</f>
        <v>0</v>
      </c>
      <c r="Q216" s="12"/>
      <c r="R216" s="95"/>
      <c r="S216" s="641"/>
      <c r="T216" s="96" t="s">
        <v>31</v>
      </c>
      <c r="U216" s="105">
        <f>ROUNDDOWN(U215,-2)</f>
        <v>0</v>
      </c>
      <c r="V216" s="88" t="s">
        <v>6</v>
      </c>
      <c r="W216" s="30" t="s">
        <v>43</v>
      </c>
      <c r="X216" s="29">
        <f t="shared" si="140"/>
        <v>0</v>
      </c>
      <c r="Y216" s="30" t="s">
        <v>42</v>
      </c>
      <c r="Z216" s="31">
        <f>IF($AH$13&gt;0,0,BB216)</f>
        <v>0</v>
      </c>
      <c r="AA216" s="73"/>
      <c r="AB216" s="73"/>
      <c r="AC216" s="223"/>
      <c r="AD216" s="73"/>
      <c r="AE216" s="497" t="str">
        <f>IF($AH$13&gt;0,"－",IF($AG$2&gt;0,"限度超過",IF(U217=Z217,"OK","ｱﾝﾏｯﾁ")))</f>
        <v>OK</v>
      </c>
      <c r="AF216" s="496"/>
      <c r="AG216" s="73"/>
      <c r="AI216" s="175"/>
      <c r="AJ216" s="175"/>
      <c r="AK216" s="175"/>
      <c r="AL216" s="175"/>
      <c r="AM216" s="175"/>
      <c r="AN216" s="174"/>
      <c r="AO216" s="126" t="s">
        <v>43</v>
      </c>
      <c r="AP216" s="344">
        <f>ROUND(AP39*AQ212,0)</f>
        <v>0</v>
      </c>
      <c r="AQ216" s="351" t="s">
        <v>42</v>
      </c>
      <c r="AR216" s="345">
        <f>ROUND(AR39*AQ212,0)</f>
        <v>0</v>
      </c>
      <c r="AS216" s="350"/>
      <c r="AT216" s="126" t="s">
        <v>43</v>
      </c>
      <c r="AU216" s="344">
        <f>IF(AV212=0,0,IF(AV212&gt;=7,1,IF(AV212&lt;=-7,-1,0)))</f>
        <v>0</v>
      </c>
      <c r="AV216" s="351" t="s">
        <v>42</v>
      </c>
      <c r="AW216" s="345">
        <f>IF(AV212=0,0,IF(AV212&gt;=1,1,IF(AV212&lt;=-1,-1,0)))</f>
        <v>0</v>
      </c>
      <c r="AX216" s="318"/>
      <c r="AY216" s="262" t="s">
        <v>43</v>
      </c>
      <c r="AZ216" s="372">
        <f t="shared" si="141"/>
        <v>0</v>
      </c>
      <c r="BA216" s="319" t="s">
        <v>42</v>
      </c>
      <c r="BB216" s="127">
        <f>IF($AG$2&gt;0,"限度超過",IF($A$176=$L$176,"限度超過",AR216+AW216))</f>
        <v>0</v>
      </c>
      <c r="BC216" s="318"/>
      <c r="BD216" s="448" t="s">
        <v>43</v>
      </c>
      <c r="BE216" s="81">
        <f t="shared" si="142"/>
        <v>0</v>
      </c>
      <c r="BF216" s="82" t="s">
        <v>42</v>
      </c>
      <c r="BG216" s="29">
        <f>BG206</f>
        <v>0</v>
      </c>
      <c r="BH216" s="12"/>
      <c r="BI216" s="30" t="s">
        <v>43</v>
      </c>
      <c r="BJ216" s="29">
        <f t="shared" si="143"/>
        <v>0</v>
      </c>
      <c r="BK216" s="30" t="s">
        <v>42</v>
      </c>
      <c r="BL216" s="29">
        <f>IF($A$176=$L$176,"限度超過",IF(BG216=0,0,BG216/$S$94))</f>
        <v>0</v>
      </c>
      <c r="BM216" s="12"/>
      <c r="BN216" s="30" t="s">
        <v>43</v>
      </c>
      <c r="BO216" s="29">
        <f t="shared" si="144"/>
        <v>0</v>
      </c>
      <c r="BP216" s="30" t="s">
        <v>42</v>
      </c>
      <c r="BQ216" s="29">
        <f>IF($A$176=$L$176,"限度超過",IF($S$94&lt;=2,0,BL216))</f>
        <v>0</v>
      </c>
      <c r="BR216" s="446"/>
      <c r="BS216" s="12"/>
      <c r="BT216" s="12"/>
      <c r="BU216" s="12"/>
      <c r="BV216" s="12"/>
      <c r="BW216" s="12"/>
      <c r="BX216" s="32" t="s">
        <v>25</v>
      </c>
      <c r="BY216" s="45">
        <f>K218</f>
        <v>0</v>
      </c>
      <c r="BZ216" s="45">
        <f t="shared" si="145"/>
        <v>0</v>
      </c>
      <c r="CA216" s="45">
        <f t="shared" si="146"/>
        <v>0</v>
      </c>
      <c r="CB216" s="45">
        <f t="shared" si="147"/>
        <v>0</v>
      </c>
      <c r="CC216" s="576">
        <f>CB216</f>
        <v>0</v>
      </c>
      <c r="CD216" s="4"/>
      <c r="CE216" s="4"/>
      <c r="CF216" s="4"/>
      <c r="CG216" s="4"/>
      <c r="CH216" s="4"/>
      <c r="CI216" s="13"/>
    </row>
    <row r="217" spans="1:87" ht="18" customHeight="1">
      <c r="A217" s="1378" t="s">
        <v>10</v>
      </c>
      <c r="B217" s="12"/>
      <c r="C217" s="12"/>
      <c r="D217" s="1379" t="s">
        <v>7</v>
      </c>
      <c r="E217" s="1389">
        <f>IF(H217&gt;0,$CE$185+$CE$186,0)</f>
        <v>0</v>
      </c>
      <c r="F217" s="97"/>
      <c r="G217" s="1010" t="s">
        <v>59</v>
      </c>
      <c r="H217" s="1390">
        <f>IF(B212=0,0,SUBTOTAL(3,B212))</f>
        <v>0</v>
      </c>
      <c r="I217" s="1385" t="s">
        <v>22</v>
      </c>
      <c r="J217" s="1010" t="s">
        <v>59</v>
      </c>
      <c r="K217" s="51">
        <f>IF(H217&gt;0,K214,0)</f>
        <v>0</v>
      </c>
      <c r="L217" s="52" t="s">
        <v>5</v>
      </c>
      <c r="M217" s="1527" t="s">
        <v>122</v>
      </c>
      <c r="N217" s="1548">
        <f>IF(O217=0,0,"―")</f>
        <v>0</v>
      </c>
      <c r="O217" s="1525">
        <f>IF(H217=0,0,IF(BY219=0,IF($D$94=7,BZ218,IF($D$94=5,CA218,IF($D$94=2,CB218,CC218))),IF($D$94=7,BZ218+BZ219,IF($D$94=5,CA218+CA219,IF($D$94=2,CB218+CB219,CC218+CC219)))))</f>
        <v>0</v>
      </c>
      <c r="P217" s="1525"/>
      <c r="Q217" s="1392" t="s">
        <v>14</v>
      </c>
      <c r="R217" s="1391">
        <f>IF(H217&gt;0,IF(K214=0,0,ROUNDDOWN(((E217*H217)*K217/K218)-O217,0)),0)</f>
        <v>0</v>
      </c>
      <c r="S217" s="1520" t="s">
        <v>6</v>
      </c>
      <c r="T217" s="1321" t="s">
        <v>32</v>
      </c>
      <c r="U217" s="1586">
        <f>IF($L$264=$A$264,"限度超過!",U215)</f>
        <v>0</v>
      </c>
      <c r="V217" s="1509" t="s">
        <v>6</v>
      </c>
      <c r="W217" s="30" t="s">
        <v>37</v>
      </c>
      <c r="X217" s="29">
        <f t="shared" si="140"/>
        <v>0</v>
      </c>
      <c r="Y217" s="1313" t="s">
        <v>44</v>
      </c>
      <c r="Z217" s="1420">
        <f>IF($AH$13&gt;0,0,BB217)</f>
        <v>0</v>
      </c>
      <c r="AA217" s="26"/>
      <c r="AB217" s="26"/>
      <c r="AC217" s="491"/>
      <c r="AD217" s="26"/>
      <c r="AE217" s="497" t="str">
        <f>IF($AG$2&gt;0,"限度超過",IF(X213+X214+X215+X216+X217+X218+Z213+Z214+Z215+Z216=Z217,"OK","エラー"))</f>
        <v>OK</v>
      </c>
      <c r="AF217" s="1508">
        <f>IF(H217&gt;0,IF(K214=0,0,ROUNDDOWN((E217*H217)-O217,0)),0)</f>
        <v>0</v>
      </c>
      <c r="AG217" s="26"/>
      <c r="AI217" s="173"/>
      <c r="AJ217" s="179"/>
      <c r="AK217" s="179"/>
      <c r="AL217" s="179"/>
      <c r="AM217" s="179"/>
      <c r="AN217" s="174"/>
      <c r="AO217" s="126" t="s">
        <v>37</v>
      </c>
      <c r="AP217" s="344">
        <f>ROUND(AP40*AQ212,0)</f>
        <v>0</v>
      </c>
      <c r="AQ217" s="352" t="s">
        <v>44</v>
      </c>
      <c r="AR217" s="346">
        <f>AP213+AP214+AP215+AP216+AP217+AP218+AR213+AR214+AR215+AR216</f>
        <v>0</v>
      </c>
      <c r="AS217" s="350"/>
      <c r="AT217" s="126" t="s">
        <v>37</v>
      </c>
      <c r="AU217" s="344">
        <f>IF(AV212=0,0,IF(AV212&gt;=6,1,IF(AV212&lt;=-6,-1,0)))</f>
        <v>0</v>
      </c>
      <c r="AV217" s="352" t="s">
        <v>44</v>
      </c>
      <c r="AW217" s="353">
        <f>AU213+AU214+AU215+AU216+AU217+AU218+AW213+AW214+AW215+AW216</f>
        <v>0</v>
      </c>
      <c r="AX217" s="318"/>
      <c r="AY217" s="262" t="s">
        <v>37</v>
      </c>
      <c r="AZ217" s="372">
        <f t="shared" si="141"/>
        <v>0</v>
      </c>
      <c r="BA217" s="320" t="s">
        <v>44</v>
      </c>
      <c r="BB217" s="417">
        <f>IF($AG$2&gt;0,"限度超過",AZ213+AZ214+AZ215+AZ216+AZ217+AZ218+BB213+BB214+BB215+BB216)</f>
        <v>0</v>
      </c>
      <c r="BC217" s="318"/>
      <c r="BD217" s="448" t="s">
        <v>37</v>
      </c>
      <c r="BE217" s="81">
        <f t="shared" si="142"/>
        <v>0</v>
      </c>
      <c r="BF217" s="440" t="s">
        <v>44</v>
      </c>
      <c r="BG217" s="29">
        <f>IF($A$176=$L$176,"限度超過",BE213+BE214+BE215+BE216+BE217+BE218+BG213+BG214+BG215+BG216)</f>
        <v>0</v>
      </c>
      <c r="BH217" s="12"/>
      <c r="BI217" s="30" t="s">
        <v>37</v>
      </c>
      <c r="BJ217" s="29">
        <f t="shared" si="143"/>
        <v>0</v>
      </c>
      <c r="BK217" s="98" t="s">
        <v>44</v>
      </c>
      <c r="BL217" s="29">
        <f>IF($A$176=$L$176,"限度超過",BJ213+BJ214+BJ215+BJ216+BJ217+BJ218+BL213+BL214+BL215+BL216)</f>
        <v>0</v>
      </c>
      <c r="BM217" s="12"/>
      <c r="BN217" s="30" t="s">
        <v>37</v>
      </c>
      <c r="BO217" s="29">
        <f t="shared" si="144"/>
        <v>0</v>
      </c>
      <c r="BP217" s="98" t="s">
        <v>44</v>
      </c>
      <c r="BQ217" s="29">
        <f>IF($A$176=$L$176,"限度超過",BO213+BO214+BO215+BO216+BO217+BO218+BQ213+BQ214+BQ215+BQ216)</f>
        <v>0</v>
      </c>
      <c r="BR217" s="446"/>
      <c r="BS217" s="12"/>
      <c r="BT217" s="12"/>
      <c r="BU217" s="12"/>
      <c r="BV217" s="12"/>
      <c r="BW217" s="12"/>
      <c r="BX217" s="32" t="s">
        <v>26</v>
      </c>
      <c r="BY217" s="26">
        <f>H217</f>
        <v>0</v>
      </c>
      <c r="BZ217" s="99">
        <f t="shared" si="145"/>
        <v>0</v>
      </c>
      <c r="CA217" s="99">
        <f t="shared" si="146"/>
        <v>0</v>
      </c>
      <c r="CB217" s="99">
        <f t="shared" si="147"/>
        <v>0</v>
      </c>
      <c r="CC217" s="576">
        <f>CB217</f>
        <v>0</v>
      </c>
      <c r="CD217" s="4"/>
      <c r="CE217" s="4"/>
      <c r="CF217" s="4"/>
      <c r="CG217" s="4"/>
      <c r="CH217" s="4"/>
      <c r="CI217" s="13"/>
    </row>
    <row r="218" spans="1:87" ht="18" customHeight="1">
      <c r="A218" s="1378"/>
      <c r="B218" s="12"/>
      <c r="C218" s="12"/>
      <c r="D218" s="1379"/>
      <c r="E218" s="1389"/>
      <c r="F218" s="12"/>
      <c r="G218" s="1010"/>
      <c r="H218" s="1390"/>
      <c r="I218" s="1385"/>
      <c r="J218" s="1010"/>
      <c r="K218" s="180">
        <f>IF(H217&gt;0,K215,0)</f>
        <v>0</v>
      </c>
      <c r="L218" s="12" t="s">
        <v>5</v>
      </c>
      <c r="M218" s="1527"/>
      <c r="N218" s="1548"/>
      <c r="O218" s="1525"/>
      <c r="P218" s="1525"/>
      <c r="Q218" s="1392"/>
      <c r="R218" s="1391"/>
      <c r="S218" s="1520"/>
      <c r="T218" s="1582"/>
      <c r="U218" s="1587"/>
      <c r="V218" s="1510"/>
      <c r="W218" s="30" t="s">
        <v>38</v>
      </c>
      <c r="X218" s="29">
        <f t="shared" si="140"/>
        <v>0</v>
      </c>
      <c r="Y218" s="1422"/>
      <c r="Z218" s="1421"/>
      <c r="AA218" s="26"/>
      <c r="AB218" s="26"/>
      <c r="AC218" s="491"/>
      <c r="AD218" s="26"/>
      <c r="AE218" s="634"/>
      <c r="AF218" s="1559"/>
      <c r="AG218" s="26"/>
      <c r="AH218" s="26"/>
      <c r="AI218" s="173"/>
      <c r="AJ218" s="179"/>
      <c r="AK218" s="179"/>
      <c r="AL218" s="179"/>
      <c r="AM218" s="179"/>
      <c r="AN218" s="175"/>
      <c r="AO218" s="126" t="s">
        <v>38</v>
      </c>
      <c r="AP218" s="344">
        <f>ROUND(AP41*AQ212,0)</f>
        <v>0</v>
      </c>
      <c r="AQ218" s="351" t="s">
        <v>75</v>
      </c>
      <c r="AR218" s="330">
        <f>IF($AG$2&gt;0,"限度超過",U217)</f>
        <v>0</v>
      </c>
      <c r="AS218" s="347"/>
      <c r="AT218" s="126" t="s">
        <v>38</v>
      </c>
      <c r="AU218" s="344">
        <f>IF(AV212=0,0,IF(AV212&gt;=5,1,IF(AV212&lt;=-5,-1,0)))</f>
        <v>0</v>
      </c>
      <c r="AV218" s="351"/>
      <c r="AW218" s="354" t="str">
        <f>IF(AU213+AU214+AU215+AU216+AU217+AU218+AW213+AW214+AW215+AW216=AV212,"計算ＯＫ","エラー発生")</f>
        <v>計算ＯＫ</v>
      </c>
      <c r="AX218" s="318"/>
      <c r="AY218" s="262" t="s">
        <v>38</v>
      </c>
      <c r="AZ218" s="372">
        <f t="shared" si="141"/>
        <v>0</v>
      </c>
      <c r="BA218" s="319"/>
      <c r="BB218" s="418">
        <f>IF($AG$2&gt;0,"限度超過",IF($A$264=$L$264,"限度超過",$U$217))</f>
        <v>0</v>
      </c>
      <c r="BC218" s="318"/>
      <c r="BD218" s="448" t="s">
        <v>38</v>
      </c>
      <c r="BE218" s="81">
        <f t="shared" si="142"/>
        <v>0</v>
      </c>
      <c r="BF218" s="82"/>
      <c r="BG218" s="100"/>
      <c r="BH218" s="12"/>
      <c r="BI218" s="30" t="s">
        <v>38</v>
      </c>
      <c r="BJ218" s="29">
        <f t="shared" si="143"/>
        <v>0</v>
      </c>
      <c r="BK218" s="30"/>
      <c r="BL218" s="100"/>
      <c r="BM218" s="12"/>
      <c r="BN218" s="30" t="s">
        <v>38</v>
      </c>
      <c r="BO218" s="29">
        <f t="shared" si="144"/>
        <v>0</v>
      </c>
      <c r="BP218" s="30"/>
      <c r="BQ218" s="100"/>
      <c r="BR218" s="446"/>
      <c r="BS218" s="12"/>
      <c r="BT218" s="12"/>
      <c r="BU218" s="12"/>
      <c r="BV218" s="12"/>
      <c r="BW218" s="12"/>
      <c r="BX218" s="67" t="s">
        <v>27</v>
      </c>
      <c r="BY218" s="45">
        <f>IF(BY217&gt;0,ROUNDDOWN(BY214*BY217*BY215/BY216,0),0)</f>
        <v>0</v>
      </c>
      <c r="BZ218" s="45">
        <f>IF(BZ217&gt;0,ROUNDDOWN(BZ214*BZ217*BZ215/BZ216,0),0)</f>
        <v>0</v>
      </c>
      <c r="CA218" s="45">
        <f>IF(CA217&gt;0,ROUNDDOWN(CA214*CA217*CA215/CA216,0),0)</f>
        <v>0</v>
      </c>
      <c r="CB218" s="45">
        <f>IF(CB217&gt;0,ROUNDDOWN(CB214*CB217*CB215/CB216,0),0)</f>
        <v>0</v>
      </c>
      <c r="CC218" s="576">
        <v>0</v>
      </c>
      <c r="CD218" s="4"/>
      <c r="CE218" s="4"/>
      <c r="CF218" s="4"/>
      <c r="CG218" s="4"/>
      <c r="CH218" s="4"/>
      <c r="CI218" s="13"/>
    </row>
    <row r="219" spans="1:87" ht="18" customHeight="1">
      <c r="A219" s="626"/>
      <c r="B219" s="75" t="s">
        <v>118</v>
      </c>
      <c r="C219" s="12"/>
      <c r="D219" s="629"/>
      <c r="E219" s="630"/>
      <c r="F219" s="12"/>
      <c r="G219" s="620"/>
      <c r="H219" s="632"/>
      <c r="I219" s="633"/>
      <c r="J219" s="620"/>
      <c r="K219" s="180"/>
      <c r="L219" s="12"/>
      <c r="M219" s="636"/>
      <c r="N219" s="636"/>
      <c r="O219" s="631"/>
      <c r="P219" s="631"/>
      <c r="Q219" s="628"/>
      <c r="R219" s="637"/>
      <c r="S219" s="641"/>
      <c r="T219" s="620"/>
      <c r="U219" s="182"/>
      <c r="V219" s="620"/>
      <c r="W219" s="4"/>
      <c r="X219" s="26"/>
      <c r="Y219" s="170"/>
      <c r="Z219" s="185"/>
      <c r="AA219" s="26"/>
      <c r="AB219" s="26"/>
      <c r="AC219" s="491"/>
      <c r="AD219" s="26"/>
      <c r="AE219" s="634"/>
      <c r="AF219" s="234"/>
      <c r="AG219" s="26"/>
      <c r="AH219" s="26"/>
      <c r="AI219" s="173"/>
      <c r="AJ219" s="173"/>
      <c r="AK219" s="173"/>
      <c r="AL219" s="173"/>
      <c r="AM219" s="173"/>
      <c r="AN219" s="173"/>
      <c r="AO219" s="348"/>
      <c r="AP219" s="348"/>
      <c r="AQ219" s="349"/>
      <c r="AR219" s="349"/>
      <c r="AS219" s="347"/>
      <c r="AT219" s="347"/>
      <c r="AU219" s="347"/>
      <c r="AV219" s="347"/>
      <c r="AW219" s="347"/>
      <c r="AX219" s="318"/>
      <c r="AY219" s="419"/>
      <c r="AZ219" s="348"/>
      <c r="BA219" s="349"/>
      <c r="BB219" s="464" t="str">
        <f>IF(BB217=BB218,"OK","エラー")</f>
        <v>OK</v>
      </c>
      <c r="BC219" s="318"/>
      <c r="BD219" s="449"/>
      <c r="BF219" s="4" t="s">
        <v>206</v>
      </c>
      <c r="BH219" s="12"/>
      <c r="BM219" s="12"/>
      <c r="BR219" s="446"/>
      <c r="BS219" s="12"/>
      <c r="BT219" s="12"/>
      <c r="BU219" s="12"/>
      <c r="BV219" s="12"/>
      <c r="BW219" s="12"/>
      <c r="BX219" s="32" t="s">
        <v>340</v>
      </c>
      <c r="BY219" s="576">
        <f>IF(入力画面!E32=1,1,0)</f>
        <v>0</v>
      </c>
      <c r="BZ219" s="576">
        <f>IF($BY$219=1,ROUNDDOWN($CF$190*BZ215/BZ216,0),0)</f>
        <v>0</v>
      </c>
      <c r="CA219" s="576">
        <f>IF($BY$219=1,ROUNDDOWN($CG$190*CA215/CA216,0),0)</f>
        <v>0</v>
      </c>
      <c r="CB219" s="576">
        <f>IF($BY$219=1,ROUNDDOWN($CH$190*CB215/CB216,0),0)</f>
        <v>0</v>
      </c>
      <c r="CC219" s="576">
        <f>IF($BY$219=1,ROUNDDOWN($CE$190*CC215/CC216,0),0)</f>
        <v>0</v>
      </c>
      <c r="CD219" s="4"/>
      <c r="CE219" s="4"/>
      <c r="CF219" s="4"/>
      <c r="CG219" s="4"/>
      <c r="CH219" s="4"/>
      <c r="CI219" s="13"/>
    </row>
    <row r="220" spans="1:87" ht="18" customHeight="1">
      <c r="A220" s="58" t="s">
        <v>1</v>
      </c>
      <c r="B220" s="52"/>
      <c r="C220" s="187">
        <f>IF(H217&gt;0,$X$190,0)</f>
        <v>0</v>
      </c>
      <c r="D220" s="201" t="s">
        <v>6</v>
      </c>
      <c r="E220" s="60" t="s">
        <v>59</v>
      </c>
      <c r="F220" s="1377">
        <f>K214</f>
        <v>0</v>
      </c>
      <c r="G220" s="1377"/>
      <c r="H220" s="214" t="s">
        <v>5</v>
      </c>
      <c r="I220" s="1388" t="s">
        <v>14</v>
      </c>
      <c r="J220" s="1388"/>
      <c r="K220" s="1377">
        <f>C220*F220</f>
        <v>0</v>
      </c>
      <c r="L220" s="1377"/>
      <c r="M220" s="202" t="s">
        <v>6</v>
      </c>
      <c r="N220" s="202"/>
      <c r="O220" s="203"/>
      <c r="P220" s="203"/>
      <c r="Q220" s="63"/>
      <c r="R220" s="204"/>
      <c r="S220" s="59"/>
      <c r="T220" s="622"/>
      <c r="U220" s="205"/>
      <c r="V220" s="622"/>
      <c r="W220" s="186"/>
      <c r="X220" s="187"/>
      <c r="Y220" s="206"/>
      <c r="Z220" s="642"/>
      <c r="AA220" s="26"/>
      <c r="AB220" s="26"/>
      <c r="AC220" s="491"/>
      <c r="AD220" s="26"/>
      <c r="AE220" s="634"/>
      <c r="AF220" s="235"/>
      <c r="AG220" s="26"/>
      <c r="AH220" s="26"/>
      <c r="AI220" s="173"/>
      <c r="AJ220" s="173"/>
      <c r="AK220" s="173"/>
      <c r="AL220" s="173"/>
      <c r="AM220" s="173"/>
      <c r="AN220" s="173"/>
      <c r="AO220" s="1407" t="s">
        <v>426</v>
      </c>
      <c r="AP220" s="1407"/>
      <c r="AQ220" s="1407"/>
      <c r="AR220" s="1407"/>
      <c r="AS220" s="347"/>
      <c r="AT220" s="1406" t="s">
        <v>417</v>
      </c>
      <c r="AU220" s="1406"/>
      <c r="AV220" s="347"/>
      <c r="AW220" s="347"/>
      <c r="AX220" s="318"/>
      <c r="AY220" s="1405" t="s">
        <v>417</v>
      </c>
      <c r="AZ220" s="1406"/>
      <c r="BA220" s="349"/>
      <c r="BB220" s="421"/>
      <c r="BC220" s="318"/>
      <c r="BD220" s="1453" t="s">
        <v>228</v>
      </c>
      <c r="BE220" s="1430"/>
      <c r="BF220" s="4" t="s">
        <v>258</v>
      </c>
      <c r="BH220" s="12"/>
      <c r="BI220" s="1430" t="s">
        <v>228</v>
      </c>
      <c r="BJ220" s="1430"/>
      <c r="BM220" s="12"/>
      <c r="BN220" s="1430" t="s">
        <v>228</v>
      </c>
      <c r="BO220" s="1430"/>
      <c r="BR220" s="446"/>
      <c r="BS220" s="12"/>
      <c r="BT220" s="12"/>
      <c r="BU220" s="12"/>
      <c r="BV220" s="12"/>
      <c r="BW220" s="12"/>
      <c r="BX220" s="4"/>
      <c r="BY220" s="26"/>
      <c r="BZ220" s="26"/>
      <c r="CA220" s="26"/>
      <c r="CB220" s="26"/>
      <c r="CC220" s="4"/>
      <c r="CD220" s="4"/>
      <c r="CE220" s="4"/>
      <c r="CF220" s="4"/>
      <c r="CG220" s="4"/>
      <c r="CH220" s="4"/>
      <c r="CI220" s="13"/>
    </row>
    <row r="221" spans="1:87" ht="18" customHeight="1">
      <c r="D221" s="101"/>
      <c r="E221" s="640"/>
      <c r="G221" s="9"/>
      <c r="H221" s="102"/>
      <c r="I221" s="643"/>
      <c r="J221" s="9"/>
      <c r="K221" s="18"/>
      <c r="M221" s="103"/>
      <c r="P221" s="103"/>
      <c r="Q221" s="640"/>
      <c r="R221" s="104"/>
      <c r="S221" s="68"/>
      <c r="T221" s="68"/>
      <c r="U221" s="68"/>
      <c r="V221" s="18"/>
      <c r="AA221" s="4"/>
      <c r="AB221" s="4"/>
      <c r="AC221" s="489"/>
      <c r="AD221" s="4"/>
      <c r="AE221" s="74"/>
      <c r="AF221" s="231"/>
      <c r="AG221" s="4"/>
      <c r="AH221" s="4"/>
      <c r="AI221" s="174"/>
      <c r="AJ221" s="174"/>
      <c r="AK221" s="174"/>
      <c r="AL221" s="174"/>
      <c r="AM221" s="174"/>
      <c r="AN221" s="173"/>
      <c r="AO221" s="367" t="s">
        <v>217</v>
      </c>
      <c r="AP221" s="1401"/>
      <c r="AQ221" s="1401"/>
      <c r="AR221" s="1401"/>
      <c r="AS221" s="369"/>
      <c r="AT221" s="1413" t="s">
        <v>218</v>
      </c>
      <c r="AU221" s="1413"/>
      <c r="AV221" s="1413"/>
      <c r="AW221" s="1413"/>
      <c r="AX221" s="318"/>
      <c r="AY221" s="416" t="s">
        <v>224</v>
      </c>
      <c r="AZ221" s="1448" t="s">
        <v>223</v>
      </c>
      <c r="BA221" s="1448"/>
      <c r="BB221" s="1449"/>
      <c r="BC221" s="318"/>
      <c r="BD221" s="1426" t="s">
        <v>261</v>
      </c>
      <c r="BE221" s="1427"/>
      <c r="BF221" s="1427"/>
      <c r="BG221" s="1427"/>
      <c r="BH221" s="12"/>
      <c r="BI221" s="437" t="s">
        <v>262</v>
      </c>
      <c r="BJ221" s="1438" t="s">
        <v>260</v>
      </c>
      <c r="BK221" s="1438"/>
      <c r="BL221" s="1438"/>
      <c r="BM221" s="12"/>
      <c r="BN221" s="12"/>
      <c r="BO221" s="143" t="s">
        <v>263</v>
      </c>
      <c r="BP221" s="12" t="s">
        <v>88</v>
      </c>
      <c r="BQ221" s="12"/>
      <c r="BR221" s="446"/>
      <c r="BS221" s="12"/>
      <c r="BT221" s="12"/>
      <c r="BU221" s="12"/>
      <c r="BV221" s="12"/>
      <c r="BW221" s="12"/>
      <c r="BX221" s="4"/>
      <c r="BY221" s="4"/>
      <c r="BZ221" s="4"/>
      <c r="CA221" s="4"/>
      <c r="CB221" s="4"/>
      <c r="CC221" s="4"/>
      <c r="CD221" s="4"/>
      <c r="CE221" s="4"/>
      <c r="CF221" s="4"/>
      <c r="CG221" s="4"/>
      <c r="CH221" s="4"/>
      <c r="CI221" s="13"/>
    </row>
    <row r="222" spans="1:87" ht="18" customHeight="1">
      <c r="A222" s="194" t="s">
        <v>54</v>
      </c>
      <c r="B222" s="1396">
        <f>IF(I223=1,B45,0)</f>
        <v>0</v>
      </c>
      <c r="C222" s="1396"/>
      <c r="D222" s="1396"/>
      <c r="E222" s="644" t="s">
        <v>11</v>
      </c>
      <c r="F222" s="1398" t="s">
        <v>57</v>
      </c>
      <c r="G222" s="1398"/>
      <c r="H222" s="1399"/>
      <c r="I222" s="1380">
        <f>IF(I134=1,1,0)</f>
        <v>0</v>
      </c>
      <c r="J222" s="1381"/>
      <c r="K222" s="1515">
        <f>IF(H227=0,0,IF($K$185=0, "加入月が未入力です!！",IF($L$176=$A$176,"限度超過額に達しているため計算不可能!!",IF(U224-U223=U225,"エラー名前を入力されているが加入月未入力!！",IF(H227&gt;K224,"加入月未入力エラー!！",0)))))</f>
        <v>0</v>
      </c>
      <c r="L222" s="1516"/>
      <c r="M222" s="1516"/>
      <c r="N222" s="1516"/>
      <c r="O222" s="1516"/>
      <c r="P222" s="1516"/>
      <c r="Q222" s="1516"/>
      <c r="R222" s="1516"/>
      <c r="S222" s="1517"/>
      <c r="T222" s="623" t="s">
        <v>47</v>
      </c>
      <c r="U222" s="1605">
        <f>IF(U227&gt;0,"子ども・子育て分",0)</f>
        <v>0</v>
      </c>
      <c r="V222" s="1606"/>
      <c r="W222" s="1419" t="s">
        <v>46</v>
      </c>
      <c r="X222" s="1278"/>
      <c r="Y222" s="1278"/>
      <c r="Z222" s="1279"/>
      <c r="AB222" s="4"/>
      <c r="AC222" s="489"/>
      <c r="AD222" s="4"/>
      <c r="AE222" s="74"/>
      <c r="AF222" s="236" t="s">
        <v>117</v>
      </c>
      <c r="AG222" s="4"/>
      <c r="AH222" s="274">
        <f>IF(K224=0,0,IF(K224&lt;12,1,0))</f>
        <v>0</v>
      </c>
      <c r="AI222" s="174"/>
      <c r="AJ222" s="174"/>
      <c r="AK222" s="174"/>
      <c r="AL222" s="174"/>
      <c r="AM222" s="174"/>
      <c r="AN222" s="366" t="s">
        <v>54</v>
      </c>
      <c r="AO222" s="1319" t="s">
        <v>220</v>
      </c>
      <c r="AP222" s="1402"/>
      <c r="AQ222" s="1403">
        <f>IF(AR50=0,0,ROUNDDOWN(AR228/AR50,8))</f>
        <v>0</v>
      </c>
      <c r="AR222" s="1404"/>
      <c r="AS222" s="370"/>
      <c r="AT222" s="1319" t="s">
        <v>213</v>
      </c>
      <c r="AU222" s="1402"/>
      <c r="AV222" s="1411">
        <f>IF($AG$2&gt;0,0,AR228-AR227)</f>
        <v>0</v>
      </c>
      <c r="AW222" s="1412"/>
      <c r="AX222" s="318"/>
      <c r="AY222" s="1408" t="s">
        <v>46</v>
      </c>
      <c r="AZ222" s="1402"/>
      <c r="BA222" s="1450">
        <f>IF(R224+R227=0,0,IF(K225&gt;K224,"期割がアンマッチ使用禁止↓",0))</f>
        <v>0</v>
      </c>
      <c r="BB222" s="1451"/>
      <c r="BC222" s="318"/>
      <c r="BD222" s="1435" t="s">
        <v>46</v>
      </c>
      <c r="BE222" s="1434"/>
      <c r="BF222" s="1436" t="s">
        <v>87</v>
      </c>
      <c r="BG222" s="1437"/>
      <c r="BH222" s="12"/>
      <c r="BI222" s="1253" t="s">
        <v>89</v>
      </c>
      <c r="BJ222" s="1434"/>
      <c r="BK222" s="438"/>
      <c r="BL222" s="439"/>
      <c r="BM222" s="12"/>
      <c r="BN222" s="1253" t="s">
        <v>46</v>
      </c>
      <c r="BO222" s="1434"/>
      <c r="BP222" s="1431"/>
      <c r="BQ222" s="1433"/>
      <c r="BR222" s="446"/>
      <c r="BS222" s="12"/>
      <c r="BT222" s="12"/>
      <c r="BU222" s="12"/>
      <c r="BV222" s="12"/>
      <c r="BW222" s="12"/>
      <c r="BX222" s="4"/>
      <c r="BY222" s="4"/>
      <c r="BZ222" s="4"/>
      <c r="CA222" s="4"/>
      <c r="CB222" s="4"/>
      <c r="CC222" s="4"/>
      <c r="CD222" s="4"/>
      <c r="CE222" s="4"/>
      <c r="CF222" s="4"/>
      <c r="CG222" s="4"/>
      <c r="CH222" s="4"/>
      <c r="CI222" s="13"/>
    </row>
    <row r="223" spans="1:87" ht="18" customHeight="1">
      <c r="A223" s="165"/>
      <c r="B223" s="12"/>
      <c r="C223" s="75" t="s">
        <v>33</v>
      </c>
      <c r="D223" s="12"/>
      <c r="E223" s="12"/>
      <c r="F223" s="1394" t="s">
        <v>433</v>
      </c>
      <c r="G223" s="1394"/>
      <c r="H223" s="1394"/>
      <c r="I223" s="1386">
        <f>IF(I135=1,1,0)</f>
        <v>0</v>
      </c>
      <c r="J223" s="1387"/>
      <c r="K223" s="76" t="s">
        <v>9</v>
      </c>
      <c r="L223" s="12"/>
      <c r="M223" s="1551"/>
      <c r="N223" s="1551"/>
      <c r="O223" s="1551"/>
      <c r="P223" s="1551"/>
      <c r="Q223" s="1551"/>
      <c r="R223" s="1551"/>
      <c r="S223" s="1552"/>
      <c r="T223" s="72" t="s">
        <v>30</v>
      </c>
      <c r="U223" s="105">
        <f>R224+R227</f>
        <v>0</v>
      </c>
      <c r="V223" s="88" t="s">
        <v>6</v>
      </c>
      <c r="W223" s="80" t="s">
        <v>34</v>
      </c>
      <c r="X223" s="29">
        <f t="shared" ref="X223:X228" si="148">IF($AH$13&gt;0,0,AZ223)</f>
        <v>0</v>
      </c>
      <c r="Y223" s="80" t="s">
        <v>39</v>
      </c>
      <c r="Z223" s="31">
        <f>IF($AH$13&gt;0,0,BB223)</f>
        <v>0</v>
      </c>
      <c r="AA223" s="73"/>
      <c r="AB223" s="73"/>
      <c r="AC223" s="223"/>
      <c r="AD223" s="73"/>
      <c r="AE223" s="73"/>
      <c r="AF223" s="217">
        <f>AF224+AF227+AF230</f>
        <v>0</v>
      </c>
      <c r="AG223" s="73"/>
      <c r="AH223" s="189"/>
      <c r="AI223" s="175"/>
      <c r="AJ223" s="175"/>
      <c r="AK223" s="175"/>
      <c r="AL223" s="175"/>
      <c r="AM223" s="175"/>
      <c r="AN223" s="173"/>
      <c r="AO223" s="126" t="s">
        <v>34</v>
      </c>
      <c r="AP223" s="344">
        <f>ROUND(AP46*AQ222,0)</f>
        <v>0</v>
      </c>
      <c r="AQ223" s="351" t="s">
        <v>39</v>
      </c>
      <c r="AR223" s="345">
        <f>ROUND(AR46*AQ222,0)</f>
        <v>0</v>
      </c>
      <c r="AS223" s="371"/>
      <c r="AT223" s="126" t="s">
        <v>34</v>
      </c>
      <c r="AU223" s="344">
        <f>IF(AV222=0,0,IF(AV222&gt;=10,1,IF(AV222&lt;=-10,-1,0)))</f>
        <v>0</v>
      </c>
      <c r="AV223" s="351" t="s">
        <v>39</v>
      </c>
      <c r="AW223" s="345">
        <f>IF(AV222=0,0,IF(AV222&gt;=4,1,IF(AV222&lt;=-4,-1,0)))</f>
        <v>0</v>
      </c>
      <c r="AX223" s="318"/>
      <c r="AY223" s="258" t="s">
        <v>34</v>
      </c>
      <c r="AZ223" s="372">
        <f t="shared" ref="AZ223:AZ228" si="149">IF($AG$2&gt;0,"限度超過",IF($A$176=$L$176,"限度超過",AP223+AU223))</f>
        <v>0</v>
      </c>
      <c r="BA223" s="319" t="s">
        <v>39</v>
      </c>
      <c r="BB223" s="127">
        <f>IF($AG$2&gt;0,"限度超過",IF($A$176=$L$176,"限度超過",AR223+AW223))</f>
        <v>0</v>
      </c>
      <c r="BC223" s="318"/>
      <c r="BD223" s="448" t="s">
        <v>34</v>
      </c>
      <c r="BE223" s="81">
        <f t="shared" ref="BE223:BE228" si="150">BE213</f>
        <v>0</v>
      </c>
      <c r="BF223" s="82" t="s">
        <v>39</v>
      </c>
      <c r="BG223" s="29">
        <f>BG213</f>
        <v>0</v>
      </c>
      <c r="BH223" s="12"/>
      <c r="BI223" s="80" t="s">
        <v>34</v>
      </c>
      <c r="BJ223" s="29">
        <f t="shared" ref="BJ223:BJ228" si="151">IF($A$176=$L$176,"限度超過",IF(BE223=0,0,BE223/$S$94))</f>
        <v>0</v>
      </c>
      <c r="BK223" s="80" t="s">
        <v>39</v>
      </c>
      <c r="BL223" s="29">
        <f>IF($A$176=$L$176,"限度超過",IF(BG223=0,0,BG223/$S$94))</f>
        <v>0</v>
      </c>
      <c r="BM223" s="12"/>
      <c r="BN223" s="30" t="s">
        <v>34</v>
      </c>
      <c r="BO223" s="29">
        <f t="shared" ref="BO223:BO228" si="152">IF($A$176=$L$176,"限度超過",IF($S$94&lt;=3,0,BJ223))</f>
        <v>0</v>
      </c>
      <c r="BP223" s="80" t="s">
        <v>39</v>
      </c>
      <c r="BQ223" s="29">
        <f>IF($A$176=$L$176,"限度超過",IF($S$94&lt;=3,0,BL223))</f>
        <v>0</v>
      </c>
      <c r="BR223" s="446"/>
      <c r="BS223" s="12"/>
      <c r="BT223" s="12"/>
      <c r="BU223" s="12"/>
      <c r="BV223" s="12"/>
      <c r="BW223" s="12"/>
      <c r="BX223" s="32"/>
      <c r="BY223" s="33" t="str">
        <f>BY213</f>
        <v>料率</v>
      </c>
      <c r="BZ223" s="33">
        <f>BZ213</f>
        <v>7</v>
      </c>
      <c r="CA223" s="33">
        <f>CA213</f>
        <v>5</v>
      </c>
      <c r="CB223" s="33">
        <f>CB213</f>
        <v>2</v>
      </c>
      <c r="CC223" s="576" t="s">
        <v>341</v>
      </c>
      <c r="CD223" s="4"/>
      <c r="CE223" s="4"/>
      <c r="CF223" s="4"/>
      <c r="CG223" s="4"/>
      <c r="CH223" s="4"/>
      <c r="CI223" s="13"/>
    </row>
    <row r="224" spans="1:87" ht="18" customHeight="1">
      <c r="A224" s="1378" t="s">
        <v>0</v>
      </c>
      <c r="B224" s="1556" t="s">
        <v>129</v>
      </c>
      <c r="C224" s="1382">
        <f>C47</f>
        <v>0</v>
      </c>
      <c r="D224" s="1010" t="s">
        <v>58</v>
      </c>
      <c r="E224" s="1389">
        <f>IF(H227&gt;0,$CE$100, 0)</f>
        <v>0</v>
      </c>
      <c r="F224" s="1395" t="s">
        <v>22</v>
      </c>
      <c r="G224" s="1010" t="s">
        <v>59</v>
      </c>
      <c r="H224" s="85">
        <f>IF(H227&gt;0,$CE$184,0)</f>
        <v>0</v>
      </c>
      <c r="I224" s="1385" t="s">
        <v>22</v>
      </c>
      <c r="J224" s="1010" t="s">
        <v>59</v>
      </c>
      <c r="K224" s="51">
        <f>入力画面!I30</f>
        <v>0</v>
      </c>
      <c r="L224" s="52" t="s">
        <v>5</v>
      </c>
      <c r="M224" s="1395"/>
      <c r="N224" s="1527"/>
      <c r="O224" s="636"/>
      <c r="P224" s="1392" t="s">
        <v>14</v>
      </c>
      <c r="Q224" s="1392"/>
      <c r="R224" s="1391">
        <f>ROUNDDOWN(IF(((C224-E224)*H224/H225)*K224/K225&lt;0,0,((C224-E224)*H224/H225)*K224/K225),0)</f>
        <v>0</v>
      </c>
      <c r="S224" s="1520" t="s">
        <v>6</v>
      </c>
      <c r="T224" s="72" t="s">
        <v>1</v>
      </c>
      <c r="U224" s="105">
        <f>IF(H227=0,0,K230)</f>
        <v>0</v>
      </c>
      <c r="V224" s="88" t="s">
        <v>6</v>
      </c>
      <c r="W224" s="30" t="s">
        <v>35</v>
      </c>
      <c r="X224" s="29">
        <f t="shared" si="148"/>
        <v>0</v>
      </c>
      <c r="Y224" s="30" t="s">
        <v>40</v>
      </c>
      <c r="Z224" s="31">
        <f>IF($AH$13&gt;0,0,BB224)</f>
        <v>0</v>
      </c>
      <c r="AA224" s="26"/>
      <c r="AB224" s="26"/>
      <c r="AC224" s="491"/>
      <c r="AD224" s="26"/>
      <c r="AE224" s="634"/>
      <c r="AF224" s="1423">
        <f>ROUNDDOWN(IF(((C224-E224)*H224/H225)&lt;0,0,((C224-E224)*H224/H225)),0)</f>
        <v>0</v>
      </c>
      <c r="AG224" s="26"/>
      <c r="AH224" s="26"/>
      <c r="AI224" s="173"/>
      <c r="AJ224" s="179"/>
      <c r="AK224" s="179"/>
      <c r="AL224" s="179"/>
      <c r="AM224" s="179"/>
      <c r="AN224" s="174"/>
      <c r="AO224" s="126" t="s">
        <v>35</v>
      </c>
      <c r="AP224" s="344">
        <f>ROUND(AP47*AQ222,0)</f>
        <v>0</v>
      </c>
      <c r="AQ224" s="351" t="s">
        <v>40</v>
      </c>
      <c r="AR224" s="345">
        <f>ROUND(AR47*AQ222,0)</f>
        <v>0</v>
      </c>
      <c r="AS224" s="371"/>
      <c r="AT224" s="126" t="s">
        <v>35</v>
      </c>
      <c r="AU224" s="344">
        <f>IF(AV222=0,0,IF(AV222&gt;=9,1,IF(AV222&lt;=-9,-1,0)))</f>
        <v>0</v>
      </c>
      <c r="AV224" s="351" t="s">
        <v>40</v>
      </c>
      <c r="AW224" s="345">
        <f>IF(AV222=0,0,IF(AV222&gt;=3,1,IF(AV222&lt;=-3,-1,0)))</f>
        <v>0</v>
      </c>
      <c r="AX224" s="318"/>
      <c r="AY224" s="262" t="s">
        <v>35</v>
      </c>
      <c r="AZ224" s="372">
        <f t="shared" si="149"/>
        <v>0</v>
      </c>
      <c r="BA224" s="319" t="s">
        <v>40</v>
      </c>
      <c r="BB224" s="127">
        <f>IF($AG$2&gt;0,"限度超過",IF($A$176=$L$176,"限度超過",AR224+AW224))</f>
        <v>0</v>
      </c>
      <c r="BC224" s="318"/>
      <c r="BD224" s="448" t="s">
        <v>35</v>
      </c>
      <c r="BE224" s="81">
        <f t="shared" si="150"/>
        <v>0</v>
      </c>
      <c r="BF224" s="82" t="s">
        <v>40</v>
      </c>
      <c r="BG224" s="29">
        <f>BG214</f>
        <v>0</v>
      </c>
      <c r="BH224" s="12"/>
      <c r="BI224" s="30" t="s">
        <v>35</v>
      </c>
      <c r="BJ224" s="29">
        <f t="shared" si="151"/>
        <v>0</v>
      </c>
      <c r="BK224" s="30" t="s">
        <v>40</v>
      </c>
      <c r="BL224" s="29">
        <f>IF($A$176=$L$176,"限度超過",IF(BG224=0,0,BG224/$S$94))</f>
        <v>0</v>
      </c>
      <c r="BM224" s="12"/>
      <c r="BN224" s="30" t="s">
        <v>35</v>
      </c>
      <c r="BO224" s="29">
        <f t="shared" si="152"/>
        <v>0</v>
      </c>
      <c r="BP224" s="30" t="s">
        <v>40</v>
      </c>
      <c r="BQ224" s="29">
        <f>IF($A$176=$L$176,"限度超過",IF($S$94&lt;=3,0,BL224))</f>
        <v>0</v>
      </c>
      <c r="BR224" s="446"/>
      <c r="BS224" s="12"/>
      <c r="BT224" s="12"/>
      <c r="BU224" s="12"/>
      <c r="BV224" s="12"/>
      <c r="BW224" s="12"/>
      <c r="BX224" s="32" t="s">
        <v>17</v>
      </c>
      <c r="BY224" s="44">
        <v>0</v>
      </c>
      <c r="BZ224" s="45">
        <f>$CF$185+$CF$186</f>
        <v>700</v>
      </c>
      <c r="CA224" s="45">
        <f>$CG$185+$CG$186</f>
        <v>500</v>
      </c>
      <c r="CB224" s="45">
        <f>$CH$185+$CH$186</f>
        <v>200</v>
      </c>
      <c r="CC224" s="576"/>
      <c r="CD224" s="4"/>
      <c r="CE224" s="4"/>
      <c r="CF224" s="4"/>
      <c r="CG224" s="4"/>
      <c r="CH224" s="4"/>
      <c r="CI224" s="13"/>
    </row>
    <row r="225" spans="1:87" ht="18" customHeight="1">
      <c r="A225" s="1378"/>
      <c r="B225" s="1556"/>
      <c r="C225" s="1382"/>
      <c r="D225" s="1010"/>
      <c r="E225" s="1389"/>
      <c r="F225" s="1395"/>
      <c r="G225" s="1010"/>
      <c r="H225" s="619">
        <v>100</v>
      </c>
      <c r="I225" s="1385"/>
      <c r="J225" s="1010"/>
      <c r="K225" s="55">
        <v>12</v>
      </c>
      <c r="L225" s="12" t="s">
        <v>5</v>
      </c>
      <c r="M225" s="1395"/>
      <c r="N225" s="1527"/>
      <c r="O225" s="636"/>
      <c r="P225" s="1392"/>
      <c r="Q225" s="1392"/>
      <c r="R225" s="1391"/>
      <c r="S225" s="1520"/>
      <c r="T225" s="72" t="s">
        <v>29</v>
      </c>
      <c r="U225" s="105">
        <f>U223+U224</f>
        <v>0</v>
      </c>
      <c r="V225" s="88" t="s">
        <v>6</v>
      </c>
      <c r="W225" s="30" t="s">
        <v>36</v>
      </c>
      <c r="X225" s="29">
        <f t="shared" si="148"/>
        <v>0</v>
      </c>
      <c r="Y225" s="30" t="s">
        <v>41</v>
      </c>
      <c r="Z225" s="31">
        <f>IF($AH$13&gt;0,0,BB225)</f>
        <v>0</v>
      </c>
      <c r="AA225" s="26"/>
      <c r="AB225" s="26"/>
      <c r="AC225" s="491"/>
      <c r="AD225" s="26"/>
      <c r="AE225" s="634"/>
      <c r="AF225" s="1424"/>
      <c r="AG225" s="26"/>
      <c r="AH225" s="26"/>
      <c r="AI225" s="173"/>
      <c r="AJ225" s="179"/>
      <c r="AK225" s="179"/>
      <c r="AL225" s="179"/>
      <c r="AM225" s="179"/>
      <c r="AN225" s="174"/>
      <c r="AO225" s="126" t="s">
        <v>36</v>
      </c>
      <c r="AP225" s="344">
        <f>ROUND(AP48*AQ222,0)</f>
        <v>0</v>
      </c>
      <c r="AQ225" s="351" t="s">
        <v>41</v>
      </c>
      <c r="AR225" s="345">
        <f>ROUND(AR48*AQ222,0)</f>
        <v>0</v>
      </c>
      <c r="AS225" s="350"/>
      <c r="AT225" s="126" t="s">
        <v>36</v>
      </c>
      <c r="AU225" s="344">
        <f>IF(AV222=0,0,IF(AV222&gt;=8,1,IF(AV222&lt;=-8,-1,0)))</f>
        <v>0</v>
      </c>
      <c r="AV225" s="351" t="s">
        <v>41</v>
      </c>
      <c r="AW225" s="345">
        <f>IF(AV222=0,0,IF(AV222&gt;=2,1,IF(AV222&lt;=-2,-1,0)))</f>
        <v>0</v>
      </c>
      <c r="AX225" s="318"/>
      <c r="AY225" s="262" t="s">
        <v>36</v>
      </c>
      <c r="AZ225" s="372">
        <f t="shared" si="149"/>
        <v>0</v>
      </c>
      <c r="BA225" s="319" t="s">
        <v>41</v>
      </c>
      <c r="BB225" s="127">
        <f>IF($AG$2&gt;0,"限度超過",IF($A$176=$L$176,"限度超過",AR225+AW225))</f>
        <v>0</v>
      </c>
      <c r="BC225" s="318"/>
      <c r="BD225" s="448" t="s">
        <v>36</v>
      </c>
      <c r="BE225" s="81">
        <f t="shared" si="150"/>
        <v>0</v>
      </c>
      <c r="BF225" s="82" t="s">
        <v>41</v>
      </c>
      <c r="BG225" s="29">
        <f>BG215</f>
        <v>0</v>
      </c>
      <c r="BH225" s="12"/>
      <c r="BI225" s="30" t="s">
        <v>36</v>
      </c>
      <c r="BJ225" s="29">
        <f t="shared" si="151"/>
        <v>0</v>
      </c>
      <c r="BK225" s="30" t="s">
        <v>41</v>
      </c>
      <c r="BL225" s="29">
        <f>IF($A$176=$L$176,"限度超過",IF(BG225=0,0,BG225/$S$94))</f>
        <v>0</v>
      </c>
      <c r="BM225" s="12"/>
      <c r="BN225" s="30" t="s">
        <v>36</v>
      </c>
      <c r="BO225" s="29">
        <f t="shared" si="152"/>
        <v>0</v>
      </c>
      <c r="BP225" s="30" t="s">
        <v>41</v>
      </c>
      <c r="BQ225" s="29">
        <f>IF($A$176=$L$176,"限度超過",IF($S$94&lt;=3,0,BL225))</f>
        <v>0</v>
      </c>
      <c r="BR225" s="446"/>
      <c r="BS225" s="12"/>
      <c r="BT225" s="12"/>
      <c r="BU225" s="12"/>
      <c r="BV225" s="12"/>
      <c r="BW225" s="12"/>
      <c r="BX225" s="32" t="s">
        <v>8</v>
      </c>
      <c r="BY225" s="45">
        <f>K227</f>
        <v>0</v>
      </c>
      <c r="BZ225" s="45">
        <f t="shared" ref="BZ225:BZ227" si="153">BY225</f>
        <v>0</v>
      </c>
      <c r="CA225" s="45">
        <f t="shared" ref="CA225:CA227" si="154">BZ225</f>
        <v>0</v>
      </c>
      <c r="CB225" s="45">
        <f t="shared" ref="CB225:CB227" si="155">CA225</f>
        <v>0</v>
      </c>
      <c r="CC225" s="576">
        <f>CB225</f>
        <v>0</v>
      </c>
      <c r="CD225" s="4"/>
      <c r="CE225" s="4"/>
      <c r="CF225" s="4"/>
      <c r="CG225" s="4"/>
      <c r="CH225" s="4"/>
      <c r="CI225" s="13"/>
    </row>
    <row r="226" spans="1:87" ht="18" customHeight="1">
      <c r="A226" s="165"/>
      <c r="B226" s="12"/>
      <c r="C226" s="620"/>
      <c r="D226" s="12"/>
      <c r="E226" s="12"/>
      <c r="F226" s="12"/>
      <c r="G226" s="12"/>
      <c r="H226" s="91"/>
      <c r="I226" s="75"/>
      <c r="J226" s="75"/>
      <c r="K226" s="92"/>
      <c r="L226" s="75"/>
      <c r="M226" s="93"/>
      <c r="N226" s="578">
        <f>IF(入力画面!E125=1,"未就学児",0)</f>
        <v>0</v>
      </c>
      <c r="O226" s="42">
        <f>IF(H227=0,0,$D$94)</f>
        <v>0</v>
      </c>
      <c r="P226" s="463">
        <f>IF(O227=0,0,"軽減額")</f>
        <v>0</v>
      </c>
      <c r="Q226" s="12"/>
      <c r="R226" s="95"/>
      <c r="S226" s="627"/>
      <c r="T226" s="96" t="s">
        <v>31</v>
      </c>
      <c r="U226" s="105">
        <f>ROUNDDOWN(U225,-2)</f>
        <v>0</v>
      </c>
      <c r="V226" s="88" t="s">
        <v>6</v>
      </c>
      <c r="W226" s="30" t="s">
        <v>43</v>
      </c>
      <c r="X226" s="29">
        <f t="shared" si="148"/>
        <v>0</v>
      </c>
      <c r="Y226" s="30" t="s">
        <v>42</v>
      </c>
      <c r="Z226" s="31">
        <f>IF($AH$13&gt;0,0,BB226)</f>
        <v>0</v>
      </c>
      <c r="AA226" s="26"/>
      <c r="AB226" s="26"/>
      <c r="AC226" s="491"/>
      <c r="AD226" s="26"/>
      <c r="AE226" s="497" t="str">
        <f>IF($AH$13&gt;0,"－",IF($AG$2&gt;0,"限度超過",IF(U227=Z227,"OK","ｱﾝﾏｯﾁ")))</f>
        <v>OK</v>
      </c>
      <c r="AF226" s="496"/>
      <c r="AG226" s="26"/>
      <c r="AI226" s="173"/>
      <c r="AJ226" s="173"/>
      <c r="AK226" s="173"/>
      <c r="AL226" s="173"/>
      <c r="AM226" s="173"/>
      <c r="AN226" s="174"/>
      <c r="AO226" s="126" t="s">
        <v>43</v>
      </c>
      <c r="AP226" s="344">
        <f>ROUND(AP49*AQ222,0)</f>
        <v>0</v>
      </c>
      <c r="AQ226" s="351" t="s">
        <v>42</v>
      </c>
      <c r="AR226" s="345">
        <f>ROUND(AR49*AQ222,0)</f>
        <v>0</v>
      </c>
      <c r="AS226" s="350"/>
      <c r="AT226" s="126" t="s">
        <v>43</v>
      </c>
      <c r="AU226" s="344">
        <f>IF(AV222=0,0,IF(AV222&gt;=7,1,IF(AV222&lt;=-7,-1,0)))</f>
        <v>0</v>
      </c>
      <c r="AV226" s="351" t="s">
        <v>42</v>
      </c>
      <c r="AW226" s="345">
        <f>IF(AV222=0,0,IF(AV222&gt;=1,1,IF(AV222&lt;=-1,-1,0)))</f>
        <v>0</v>
      </c>
      <c r="AX226" s="318"/>
      <c r="AY226" s="262" t="s">
        <v>43</v>
      </c>
      <c r="AZ226" s="372">
        <f t="shared" si="149"/>
        <v>0</v>
      </c>
      <c r="BA226" s="319" t="s">
        <v>42</v>
      </c>
      <c r="BB226" s="127">
        <f>IF($AG$2&gt;0,"限度超過",IF($A$176=$L$176,"限度超過",AR226+AW226))</f>
        <v>0</v>
      </c>
      <c r="BC226" s="318"/>
      <c r="BD226" s="448" t="s">
        <v>43</v>
      </c>
      <c r="BE226" s="81">
        <f t="shared" si="150"/>
        <v>0</v>
      </c>
      <c r="BF226" s="82" t="s">
        <v>42</v>
      </c>
      <c r="BG226" s="29">
        <f>BG216</f>
        <v>0</v>
      </c>
      <c r="BH226" s="12"/>
      <c r="BI226" s="30" t="s">
        <v>43</v>
      </c>
      <c r="BJ226" s="29">
        <f t="shared" si="151"/>
        <v>0</v>
      </c>
      <c r="BK226" s="30" t="s">
        <v>42</v>
      </c>
      <c r="BL226" s="29">
        <f>IF($A$176=$L$176,"限度超過",IF(BG226=0,0,BG226/$S$94))</f>
        <v>0</v>
      </c>
      <c r="BM226" s="12"/>
      <c r="BN226" s="30" t="s">
        <v>43</v>
      </c>
      <c r="BO226" s="29">
        <f t="shared" si="152"/>
        <v>0</v>
      </c>
      <c r="BP226" s="30" t="s">
        <v>42</v>
      </c>
      <c r="BQ226" s="29">
        <f>IF($A$176=$L$176,"限度超過",IF($S$94&lt;=3,0,BL226))</f>
        <v>0</v>
      </c>
      <c r="BR226" s="446"/>
      <c r="BS226" s="12"/>
      <c r="BT226" s="12"/>
      <c r="BU226" s="12"/>
      <c r="BV226" s="12"/>
      <c r="BW226" s="12"/>
      <c r="BX226" s="32" t="s">
        <v>25</v>
      </c>
      <c r="BY226" s="45">
        <f>K228</f>
        <v>0</v>
      </c>
      <c r="BZ226" s="45">
        <f t="shared" si="153"/>
        <v>0</v>
      </c>
      <c r="CA226" s="45">
        <f t="shared" si="154"/>
        <v>0</v>
      </c>
      <c r="CB226" s="45">
        <f t="shared" si="155"/>
        <v>0</v>
      </c>
      <c r="CC226" s="576">
        <f>CB226</f>
        <v>0</v>
      </c>
      <c r="CD226" s="4"/>
      <c r="CE226" s="4"/>
      <c r="CF226" s="4"/>
      <c r="CG226" s="4"/>
      <c r="CH226" s="4"/>
      <c r="CI226" s="13"/>
    </row>
    <row r="227" spans="1:87" ht="18" customHeight="1">
      <c r="A227" s="1378" t="s">
        <v>10</v>
      </c>
      <c r="B227" s="12"/>
      <c r="C227" s="12"/>
      <c r="D227" s="1379" t="s">
        <v>7</v>
      </c>
      <c r="E227" s="1389">
        <f>IF(H227&gt;0,$CE$185+$CE$186,0)</f>
        <v>0</v>
      </c>
      <c r="F227" s="97"/>
      <c r="G227" s="1010" t="s">
        <v>59</v>
      </c>
      <c r="H227" s="1390">
        <f>IF(B222=0,0,SUBTOTAL(3,B222))</f>
        <v>0</v>
      </c>
      <c r="I227" s="1385" t="s">
        <v>22</v>
      </c>
      <c r="J227" s="1010" t="s">
        <v>59</v>
      </c>
      <c r="K227" s="51">
        <f>IF(H227&gt;0,K224,0)</f>
        <v>0</v>
      </c>
      <c r="L227" s="52" t="s">
        <v>5</v>
      </c>
      <c r="M227" s="1527" t="s">
        <v>122</v>
      </c>
      <c r="N227" s="1548">
        <f>IF(O227=0,0,"―")</f>
        <v>0</v>
      </c>
      <c r="O227" s="1525">
        <f>IF(H227=0,0,IF(BY229=0,IF($D$94=7,BZ228,IF($D$94=5,CA228,IF($D$94=2,CB228,CC228))),IF($D$94=7,BZ228+BZ229,IF($D$94=5,CA228+CA229,IF($D$94=2,CB228+CB229,CC228+CC229)))))</f>
        <v>0</v>
      </c>
      <c r="P227" s="1525"/>
      <c r="Q227" s="1392" t="s">
        <v>14</v>
      </c>
      <c r="R227" s="1391">
        <f>IF(H227&gt;0,IF(K224=0,0,ROUNDDOWN(((E227*H227)*K227/K228)-O227,0)),0)</f>
        <v>0</v>
      </c>
      <c r="S227" s="1520" t="s">
        <v>6</v>
      </c>
      <c r="T227" s="1321" t="s">
        <v>32</v>
      </c>
      <c r="U227" s="1586">
        <f>IF($L$264=$A$264,"限度超過!",U225)</f>
        <v>0</v>
      </c>
      <c r="V227" s="1509" t="s">
        <v>6</v>
      </c>
      <c r="W227" s="30" t="s">
        <v>37</v>
      </c>
      <c r="X227" s="29">
        <f t="shared" si="148"/>
        <v>0</v>
      </c>
      <c r="Y227" s="1313" t="s">
        <v>44</v>
      </c>
      <c r="Z227" s="1420">
        <f>IF($AH$13&gt;0,0,BB227)</f>
        <v>0</v>
      </c>
      <c r="AA227" s="26"/>
      <c r="AB227" s="26"/>
      <c r="AC227" s="491"/>
      <c r="AD227" s="26"/>
      <c r="AE227" s="497" t="str">
        <f>IF($AG$2&gt;0,"限度超過",IF(X223+X224+X225+X226+X227+X228+Z223+Z224+Z225+Z226=Z227,"OK","エラー"))</f>
        <v>OK</v>
      </c>
      <c r="AF227" s="1508">
        <f>IF(H227&gt;0,IF(K224=0,0,ROUNDDOWN((E227*H227)-O227,0)),0)</f>
        <v>0</v>
      </c>
      <c r="AG227" s="26"/>
      <c r="AI227" s="173"/>
      <c r="AJ227" s="173"/>
      <c r="AK227" s="173"/>
      <c r="AL227" s="173"/>
      <c r="AM227" s="173"/>
      <c r="AN227" s="174"/>
      <c r="AO227" s="126" t="s">
        <v>37</v>
      </c>
      <c r="AP227" s="344">
        <f>ROUND(AP50*AQ222,0)</f>
        <v>0</v>
      </c>
      <c r="AQ227" s="352" t="s">
        <v>44</v>
      </c>
      <c r="AR227" s="346">
        <f>AP223+AP224+AP225+AP226+AP227+AP228+AR223+AR224+AR225+AR226</f>
        <v>0</v>
      </c>
      <c r="AS227" s="350"/>
      <c r="AT227" s="126" t="s">
        <v>37</v>
      </c>
      <c r="AU227" s="344">
        <f>IF(AV222=0,0,IF(AV222&gt;=6,1,IF(AV222&lt;=-6,-1,0)))</f>
        <v>0</v>
      </c>
      <c r="AV227" s="352" t="s">
        <v>44</v>
      </c>
      <c r="AW227" s="353">
        <f>AU223+AU224+AU225+AU226+AU227+AU228+AW223+AW224+AW225+AW226</f>
        <v>0</v>
      </c>
      <c r="AX227" s="318"/>
      <c r="AY227" s="262" t="s">
        <v>37</v>
      </c>
      <c r="AZ227" s="372">
        <f t="shared" si="149"/>
        <v>0</v>
      </c>
      <c r="BA227" s="320" t="s">
        <v>44</v>
      </c>
      <c r="BB227" s="417">
        <f>IF($AG$2&gt;0,"限度超過",AZ223+AZ224+AZ225+AZ226+AZ227+AZ228+BB223+BB224+BB225+BB226)</f>
        <v>0</v>
      </c>
      <c r="BC227" s="318"/>
      <c r="BD227" s="448" t="s">
        <v>37</v>
      </c>
      <c r="BE227" s="81">
        <f t="shared" si="150"/>
        <v>0</v>
      </c>
      <c r="BF227" s="440" t="s">
        <v>44</v>
      </c>
      <c r="BG227" s="29">
        <f>IF($A$176=$L$176,"限度超過",BE223+BE224+BE225+BE226+BE227+BE228+BG223+BG224+BG225+BG226)</f>
        <v>0</v>
      </c>
      <c r="BH227" s="12"/>
      <c r="BI227" s="30" t="s">
        <v>37</v>
      </c>
      <c r="BJ227" s="29">
        <f t="shared" si="151"/>
        <v>0</v>
      </c>
      <c r="BK227" s="98" t="s">
        <v>44</v>
      </c>
      <c r="BL227" s="29">
        <f>IF($A$176=$L$176,"限度超過",BJ223+BJ224+BJ225+BJ226+BJ227+BJ228+BL223+BL224+BL225+BL226)</f>
        <v>0</v>
      </c>
      <c r="BM227" s="12"/>
      <c r="BN227" s="30" t="s">
        <v>37</v>
      </c>
      <c r="BO227" s="29">
        <f t="shared" si="152"/>
        <v>0</v>
      </c>
      <c r="BP227" s="98" t="s">
        <v>44</v>
      </c>
      <c r="BQ227" s="29">
        <f>IF($A$176=$L$176,"限度超過",BO223+BO224+BO225+BO226+BO227+BO228+BQ223+BQ224+BQ225+BQ226)</f>
        <v>0</v>
      </c>
      <c r="BR227" s="446"/>
      <c r="BS227" s="12"/>
      <c r="BT227" s="12"/>
      <c r="BU227" s="12"/>
      <c r="BV227" s="12"/>
      <c r="BW227" s="12"/>
      <c r="BX227" s="32" t="s">
        <v>26</v>
      </c>
      <c r="BY227" s="26">
        <f>H227</f>
        <v>0</v>
      </c>
      <c r="BZ227" s="99">
        <f t="shared" si="153"/>
        <v>0</v>
      </c>
      <c r="CA227" s="99">
        <f t="shared" si="154"/>
        <v>0</v>
      </c>
      <c r="CB227" s="99">
        <f t="shared" si="155"/>
        <v>0</v>
      </c>
      <c r="CC227" s="576">
        <f>CB227</f>
        <v>0</v>
      </c>
      <c r="CD227" s="4"/>
      <c r="CE227" s="4"/>
      <c r="CF227" s="4"/>
      <c r="CG227" s="4"/>
      <c r="CH227" s="4"/>
      <c r="CI227" s="13"/>
    </row>
    <row r="228" spans="1:87" ht="18" customHeight="1">
      <c r="A228" s="1378"/>
      <c r="B228" s="12"/>
      <c r="C228" s="12"/>
      <c r="D228" s="1379"/>
      <c r="E228" s="1389"/>
      <c r="F228" s="12"/>
      <c r="G228" s="1010"/>
      <c r="H228" s="1390"/>
      <c r="I228" s="1385"/>
      <c r="J228" s="1010"/>
      <c r="K228" s="180">
        <f>IF(H227&gt;0,K225,0)</f>
        <v>0</v>
      </c>
      <c r="L228" s="12" t="s">
        <v>5</v>
      </c>
      <c r="M228" s="1527"/>
      <c r="N228" s="1548"/>
      <c r="O228" s="1525"/>
      <c r="P228" s="1525"/>
      <c r="Q228" s="1392"/>
      <c r="R228" s="1391"/>
      <c r="S228" s="1520"/>
      <c r="T228" s="1582"/>
      <c r="U228" s="1587"/>
      <c r="V228" s="1510"/>
      <c r="W228" s="30" t="s">
        <v>38</v>
      </c>
      <c r="X228" s="29">
        <f t="shared" si="148"/>
        <v>0</v>
      </c>
      <c r="Y228" s="1422"/>
      <c r="Z228" s="1421"/>
      <c r="AA228" s="26"/>
      <c r="AB228" s="26"/>
      <c r="AC228" s="491"/>
      <c r="AD228" s="26"/>
      <c r="AE228" s="634"/>
      <c r="AF228" s="1559"/>
      <c r="AG228" s="26"/>
      <c r="AH228" s="26"/>
      <c r="AI228" s="173"/>
      <c r="AJ228" s="173"/>
      <c r="AK228" s="173"/>
      <c r="AL228" s="173"/>
      <c r="AM228" s="173"/>
      <c r="AN228" s="174"/>
      <c r="AO228" s="126" t="s">
        <v>38</v>
      </c>
      <c r="AP228" s="344">
        <f>ROUND(AP51*AQ222,0)</f>
        <v>0</v>
      </c>
      <c r="AQ228" s="351" t="s">
        <v>75</v>
      </c>
      <c r="AR228" s="330">
        <f>IF($AG$2&gt;0,"限度超過",U227)</f>
        <v>0</v>
      </c>
      <c r="AS228" s="347"/>
      <c r="AT228" s="126" t="s">
        <v>38</v>
      </c>
      <c r="AU228" s="344">
        <f>IF(AV222=0,0,IF(AV222&gt;=5,1,IF(AV222&lt;=-5,-1,0)))</f>
        <v>0</v>
      </c>
      <c r="AV228" s="351"/>
      <c r="AW228" s="354" t="str">
        <f>IF(AU223+AU224+AU225+AU226+AU227+AU228+AW223+AW224+AW225+AW226=AV222,"計算ＯＫ","エラー発生")</f>
        <v>計算ＯＫ</v>
      </c>
      <c r="AX228" s="318"/>
      <c r="AY228" s="262" t="s">
        <v>38</v>
      </c>
      <c r="AZ228" s="372">
        <f t="shared" si="149"/>
        <v>0</v>
      </c>
      <c r="BA228" s="319"/>
      <c r="BB228" s="418">
        <f>IF($AG$2&gt;0,"限度超過",IF($A$264=$L$264,"限度超過",$U$227))</f>
        <v>0</v>
      </c>
      <c r="BC228" s="318"/>
      <c r="BD228" s="448" t="s">
        <v>38</v>
      </c>
      <c r="BE228" s="81">
        <f t="shared" si="150"/>
        <v>0</v>
      </c>
      <c r="BF228" s="82"/>
      <c r="BG228" s="100"/>
      <c r="BH228" s="12"/>
      <c r="BI228" s="30" t="s">
        <v>38</v>
      </c>
      <c r="BJ228" s="29">
        <f t="shared" si="151"/>
        <v>0</v>
      </c>
      <c r="BK228" s="30"/>
      <c r="BL228" s="100"/>
      <c r="BM228" s="12"/>
      <c r="BN228" s="30" t="s">
        <v>38</v>
      </c>
      <c r="BO228" s="29">
        <f t="shared" si="152"/>
        <v>0</v>
      </c>
      <c r="BP228" s="30"/>
      <c r="BQ228" s="100"/>
      <c r="BR228" s="446"/>
      <c r="BS228" s="12"/>
      <c r="BT228" s="12"/>
      <c r="BU228" s="12"/>
      <c r="BV228" s="12"/>
      <c r="BW228" s="12"/>
      <c r="BX228" s="67" t="s">
        <v>27</v>
      </c>
      <c r="BY228" s="45">
        <f>IF(BY227&gt;0,ROUNDDOWN(BY224*BY227*BY225/BY226,0),0)</f>
        <v>0</v>
      </c>
      <c r="BZ228" s="45">
        <f>IF(BZ227&gt;0,ROUNDDOWN(BZ224*BZ227*BZ225/BZ226,0),0)</f>
        <v>0</v>
      </c>
      <c r="CA228" s="45">
        <f>IF(CA227&gt;0,ROUNDDOWN(CA224*CA227*CA225/CA226,0),0)</f>
        <v>0</v>
      </c>
      <c r="CB228" s="45">
        <f>IF(CB227&gt;0,ROUNDDOWN(CB224*CB227*CB225/CB226,0),0)</f>
        <v>0</v>
      </c>
      <c r="CC228" s="576">
        <v>0</v>
      </c>
      <c r="CD228" s="4"/>
      <c r="CE228" s="4"/>
      <c r="CF228" s="4"/>
      <c r="CG228" s="4"/>
      <c r="CH228" s="4"/>
      <c r="CI228" s="13"/>
    </row>
    <row r="229" spans="1:87" ht="18" customHeight="1">
      <c r="A229" s="626"/>
      <c r="B229" s="75" t="s">
        <v>118</v>
      </c>
      <c r="C229" s="12"/>
      <c r="D229" s="629"/>
      <c r="E229" s="630"/>
      <c r="F229" s="12"/>
      <c r="G229" s="620"/>
      <c r="H229" s="632"/>
      <c r="I229" s="633"/>
      <c r="J229" s="620"/>
      <c r="K229" s="180"/>
      <c r="L229" s="12"/>
      <c r="M229" s="636"/>
      <c r="N229" s="636"/>
      <c r="O229" s="631"/>
      <c r="P229" s="631"/>
      <c r="Q229" s="628"/>
      <c r="R229" s="637"/>
      <c r="S229" s="641"/>
      <c r="T229" s="620"/>
      <c r="U229" s="182"/>
      <c r="V229" s="620"/>
      <c r="W229" s="4"/>
      <c r="X229" s="26"/>
      <c r="Y229" s="170"/>
      <c r="Z229" s="185"/>
      <c r="AA229" s="4"/>
      <c r="AB229" s="4"/>
      <c r="AC229" s="489"/>
      <c r="AD229" s="4"/>
      <c r="AE229" s="74"/>
      <c r="AF229" s="234"/>
      <c r="AG229" s="4"/>
      <c r="AH229" s="4"/>
      <c r="AI229" s="174"/>
      <c r="AJ229" s="174"/>
      <c r="AK229" s="174"/>
      <c r="AL229" s="174"/>
      <c r="AM229" s="174"/>
      <c r="AN229" s="174"/>
      <c r="AO229" s="348"/>
      <c r="AP229" s="348"/>
      <c r="AQ229" s="349"/>
      <c r="AR229" s="349"/>
      <c r="AS229" s="347"/>
      <c r="AT229" s="347"/>
      <c r="AU229" s="347"/>
      <c r="AV229" s="347"/>
      <c r="AW229" s="347"/>
      <c r="AX229" s="318"/>
      <c r="AY229" s="419"/>
      <c r="AZ229" s="348"/>
      <c r="BA229" s="349"/>
      <c r="BB229" s="464" t="str">
        <f>IF(BB227=BB228,"OK","エラー")</f>
        <v>OK</v>
      </c>
      <c r="BC229" s="318"/>
      <c r="BD229" s="449"/>
      <c r="BF229" s="4" t="s">
        <v>206</v>
      </c>
      <c r="BH229" s="12"/>
      <c r="BM229" s="12"/>
      <c r="BR229" s="446"/>
      <c r="BS229" s="12"/>
      <c r="BT229" s="12"/>
      <c r="BU229" s="12"/>
      <c r="BV229" s="12"/>
      <c r="BW229" s="12"/>
      <c r="BX229" s="32" t="s">
        <v>340</v>
      </c>
      <c r="BY229" s="576">
        <f>IF(入力画面!E42=1,1,0)</f>
        <v>0</v>
      </c>
      <c r="BZ229" s="576">
        <f>IF($BY$229=1,ROUNDDOWN($CF$190*BZ225/BZ226,0),0)</f>
        <v>0</v>
      </c>
      <c r="CA229" s="576">
        <f>IF($BY$229=1,ROUNDDOWN($CG$190*CA225/CA226,0),0)</f>
        <v>0</v>
      </c>
      <c r="CB229" s="576">
        <f>IF($BY$229=1,ROUNDDOWN($CH$190*CB225/CB226,0),0)</f>
        <v>0</v>
      </c>
      <c r="CC229" s="576">
        <f>IF($BY$229=1,ROUNDDOWN($CE$190*CC225/CC226,0),0)</f>
        <v>0</v>
      </c>
      <c r="CD229" s="4"/>
      <c r="CE229" s="4"/>
      <c r="CF229" s="4"/>
      <c r="CG229" s="4"/>
      <c r="CH229" s="4"/>
      <c r="CI229" s="13"/>
    </row>
    <row r="230" spans="1:87" ht="18" customHeight="1">
      <c r="A230" s="58" t="s">
        <v>1</v>
      </c>
      <c r="B230" s="52"/>
      <c r="C230" s="187">
        <f>IF(H227&gt;0,$X$190,0)</f>
        <v>0</v>
      </c>
      <c r="D230" s="201" t="s">
        <v>6</v>
      </c>
      <c r="E230" s="60" t="s">
        <v>59</v>
      </c>
      <c r="F230" s="1377">
        <f>K224</f>
        <v>0</v>
      </c>
      <c r="G230" s="1377"/>
      <c r="H230" s="214" t="s">
        <v>5</v>
      </c>
      <c r="I230" s="1388" t="s">
        <v>14</v>
      </c>
      <c r="J230" s="1388"/>
      <c r="K230" s="1377">
        <f>C230*F230</f>
        <v>0</v>
      </c>
      <c r="L230" s="1377"/>
      <c r="M230" s="202" t="s">
        <v>6</v>
      </c>
      <c r="N230" s="202"/>
      <c r="O230" s="203"/>
      <c r="P230" s="203"/>
      <c r="Q230" s="63"/>
      <c r="R230" s="204"/>
      <c r="S230" s="59"/>
      <c r="T230" s="622"/>
      <c r="U230" s="205"/>
      <c r="V230" s="622"/>
      <c r="W230" s="186"/>
      <c r="X230" s="187"/>
      <c r="Y230" s="206"/>
      <c r="Z230" s="642"/>
      <c r="AB230" s="4"/>
      <c r="AC230" s="489"/>
      <c r="AD230" s="4"/>
      <c r="AE230" s="74"/>
      <c r="AF230" s="235"/>
      <c r="AG230" s="4"/>
      <c r="AH230" s="4"/>
      <c r="AI230" s="174"/>
      <c r="AJ230" s="174"/>
      <c r="AK230" s="174"/>
      <c r="AL230" s="174"/>
      <c r="AM230" s="174"/>
      <c r="AN230" s="174"/>
      <c r="AO230" s="1407" t="s">
        <v>425</v>
      </c>
      <c r="AP230" s="1407"/>
      <c r="AQ230" s="1407"/>
      <c r="AR230" s="1407"/>
      <c r="AS230" s="347"/>
      <c r="AT230" s="1406" t="s">
        <v>418</v>
      </c>
      <c r="AU230" s="1406"/>
      <c r="AV230" s="347"/>
      <c r="AW230" s="347"/>
      <c r="AX230" s="318"/>
      <c r="AY230" s="1405" t="s">
        <v>418</v>
      </c>
      <c r="AZ230" s="1406"/>
      <c r="BA230" s="349"/>
      <c r="BB230" s="421"/>
      <c r="BC230" s="318"/>
      <c r="BD230" s="1453" t="s">
        <v>229</v>
      </c>
      <c r="BE230" s="1430"/>
      <c r="BF230" s="4" t="s">
        <v>258</v>
      </c>
      <c r="BH230" s="12"/>
      <c r="BI230" s="1430" t="s">
        <v>229</v>
      </c>
      <c r="BJ230" s="1430"/>
      <c r="BM230" s="12"/>
      <c r="BN230" s="1430" t="s">
        <v>229</v>
      </c>
      <c r="BO230" s="1430"/>
      <c r="BR230" s="446"/>
      <c r="BS230" s="12"/>
      <c r="BT230" s="12"/>
      <c r="BU230" s="12"/>
      <c r="BV230" s="12"/>
      <c r="BW230" s="12"/>
      <c r="BX230" s="4"/>
      <c r="BY230" s="26"/>
      <c r="BZ230" s="26"/>
      <c r="CA230" s="26"/>
      <c r="CB230" s="26"/>
      <c r="CC230" s="4"/>
      <c r="CD230" s="4"/>
      <c r="CE230" s="4"/>
      <c r="CF230" s="4"/>
      <c r="CG230" s="4"/>
      <c r="CH230" s="4"/>
      <c r="CI230" s="13"/>
    </row>
    <row r="231" spans="1:87" ht="18" customHeight="1">
      <c r="D231" s="101"/>
      <c r="E231" s="640"/>
      <c r="G231" s="9"/>
      <c r="H231" s="102"/>
      <c r="I231" s="643"/>
      <c r="J231" s="9"/>
      <c r="K231" s="18"/>
      <c r="M231" s="103"/>
      <c r="P231" s="103"/>
      <c r="Q231" s="640"/>
      <c r="R231" s="104"/>
      <c r="S231" s="68"/>
      <c r="T231" s="68"/>
      <c r="U231" s="68"/>
      <c r="V231" s="18"/>
      <c r="AA231" s="26"/>
      <c r="AB231" s="26"/>
      <c r="AC231" s="491"/>
      <c r="AD231" s="26"/>
      <c r="AE231" s="634"/>
      <c r="AF231" s="231"/>
      <c r="AG231" s="26"/>
      <c r="AH231" s="26"/>
      <c r="AI231" s="173"/>
      <c r="AJ231" s="179"/>
      <c r="AK231" s="179"/>
      <c r="AL231" s="179"/>
      <c r="AM231" s="179"/>
      <c r="AN231" s="174"/>
      <c r="AO231" s="367" t="s">
        <v>217</v>
      </c>
      <c r="AP231" s="1401"/>
      <c r="AQ231" s="1401"/>
      <c r="AR231" s="1401"/>
      <c r="AS231" s="369"/>
      <c r="AT231" s="1413" t="s">
        <v>218</v>
      </c>
      <c r="AU231" s="1413"/>
      <c r="AV231" s="1413"/>
      <c r="AW231" s="1413"/>
      <c r="AX231" s="318"/>
      <c r="AY231" s="416" t="s">
        <v>224</v>
      </c>
      <c r="AZ231" s="1448" t="s">
        <v>223</v>
      </c>
      <c r="BA231" s="1448"/>
      <c r="BB231" s="1449"/>
      <c r="BC231" s="318"/>
      <c r="BD231" s="1426" t="s">
        <v>261</v>
      </c>
      <c r="BE231" s="1427"/>
      <c r="BF231" s="1427"/>
      <c r="BG231" s="1427"/>
      <c r="BH231" s="12"/>
      <c r="BI231" s="437" t="s">
        <v>262</v>
      </c>
      <c r="BJ231" s="1438" t="s">
        <v>260</v>
      </c>
      <c r="BK231" s="1438"/>
      <c r="BL231" s="1438"/>
      <c r="BM231" s="12"/>
      <c r="BN231" s="12"/>
      <c r="BO231" s="143" t="s">
        <v>263</v>
      </c>
      <c r="BP231" s="12" t="s">
        <v>88</v>
      </c>
      <c r="BQ231" s="12"/>
      <c r="BR231" s="446"/>
      <c r="BS231" s="12"/>
      <c r="BT231" s="12"/>
      <c r="BU231" s="12"/>
      <c r="BV231" s="12"/>
      <c r="BW231" s="12"/>
      <c r="BX231" s="4"/>
      <c r="BY231" s="4"/>
      <c r="BZ231" s="4"/>
      <c r="CA231" s="4"/>
      <c r="CB231" s="4"/>
      <c r="CC231" s="4"/>
      <c r="CD231" s="4"/>
      <c r="CE231" s="4"/>
      <c r="CF231" s="4"/>
      <c r="CG231" s="4"/>
      <c r="CH231" s="4"/>
      <c r="CI231" s="13"/>
    </row>
    <row r="232" spans="1:87" ht="18" customHeight="1">
      <c r="A232" s="194" t="s">
        <v>55</v>
      </c>
      <c r="B232" s="1396">
        <f>IF(I233=1,B55,0)</f>
        <v>0</v>
      </c>
      <c r="C232" s="1396"/>
      <c r="D232" s="1396"/>
      <c r="E232" s="644" t="s">
        <v>11</v>
      </c>
      <c r="F232" s="1398" t="s">
        <v>57</v>
      </c>
      <c r="G232" s="1398"/>
      <c r="H232" s="1399"/>
      <c r="I232" s="1380">
        <f>IF(I144=1,1,0)</f>
        <v>0</v>
      </c>
      <c r="J232" s="1381"/>
      <c r="K232" s="1515">
        <f>IF(H237=0,0,IF($K$185=0, "加入月が未入力です!！",IF($L$176=$A$176,"限度超過額に達しているため計算不可能!!",IF(U234-U233=U235,"エラー名前を入力されているが加入月未入力!！",IF(H237&gt;K234,"加入月未入力エラー!！",0)))))</f>
        <v>0</v>
      </c>
      <c r="L232" s="1516"/>
      <c r="M232" s="1516"/>
      <c r="N232" s="1516"/>
      <c r="O232" s="1516"/>
      <c r="P232" s="1516"/>
      <c r="Q232" s="1516"/>
      <c r="R232" s="1516"/>
      <c r="S232" s="1517"/>
      <c r="T232" s="623" t="s">
        <v>47</v>
      </c>
      <c r="U232" s="1605">
        <f>IF(U237&gt;0,"子ども・子育て分",0)</f>
        <v>0</v>
      </c>
      <c r="V232" s="1606"/>
      <c r="W232" s="1419" t="s">
        <v>46</v>
      </c>
      <c r="X232" s="1278"/>
      <c r="Y232" s="1278"/>
      <c r="Z232" s="1279"/>
      <c r="AA232" s="26"/>
      <c r="AB232" s="26"/>
      <c r="AC232" s="491"/>
      <c r="AD232" s="26"/>
      <c r="AE232" s="634"/>
      <c r="AF232" s="236" t="s">
        <v>117</v>
      </c>
      <c r="AG232" s="26"/>
      <c r="AH232" s="274">
        <f>IF(K234=0,0,IF(K234&lt;12,1,0))</f>
        <v>0</v>
      </c>
      <c r="AI232" s="173"/>
      <c r="AJ232" s="179"/>
      <c r="AK232" s="179"/>
      <c r="AL232" s="179"/>
      <c r="AM232" s="179"/>
      <c r="AN232" s="366" t="s">
        <v>55</v>
      </c>
      <c r="AO232" s="1319" t="s">
        <v>220</v>
      </c>
      <c r="AP232" s="1402"/>
      <c r="AQ232" s="1403">
        <f>IF(AR60=0,0,ROUNDDOWN(AR238/AR60,8))</f>
        <v>0</v>
      </c>
      <c r="AR232" s="1404"/>
      <c r="AS232" s="370"/>
      <c r="AT232" s="1319" t="s">
        <v>213</v>
      </c>
      <c r="AU232" s="1402"/>
      <c r="AV232" s="1411">
        <f>IF($AG$2&gt;0,0,AR238-AR237)</f>
        <v>0</v>
      </c>
      <c r="AW232" s="1412"/>
      <c r="AX232" s="318"/>
      <c r="AY232" s="1408" t="s">
        <v>46</v>
      </c>
      <c r="AZ232" s="1402"/>
      <c r="BA232" s="1450">
        <f>IF(R234+R237=0,0,IF(K235&gt;K234,"期割がアンマッチ使用禁止↓",0))</f>
        <v>0</v>
      </c>
      <c r="BB232" s="1451"/>
      <c r="BC232" s="318"/>
      <c r="BD232" s="1435" t="s">
        <v>46</v>
      </c>
      <c r="BE232" s="1434"/>
      <c r="BF232" s="1436" t="s">
        <v>87</v>
      </c>
      <c r="BG232" s="1437"/>
      <c r="BH232" s="12"/>
      <c r="BI232" s="1253" t="s">
        <v>89</v>
      </c>
      <c r="BJ232" s="1434"/>
      <c r="BK232" s="438"/>
      <c r="BL232" s="439"/>
      <c r="BM232" s="12"/>
      <c r="BN232" s="1253" t="s">
        <v>46</v>
      </c>
      <c r="BO232" s="1434"/>
      <c r="BP232" s="1431"/>
      <c r="BQ232" s="1433"/>
      <c r="BR232" s="446"/>
      <c r="BS232" s="12"/>
      <c r="BT232" s="12"/>
      <c r="BU232" s="12"/>
      <c r="BV232" s="12"/>
      <c r="BW232" s="12"/>
      <c r="BX232" s="4"/>
      <c r="BY232" s="4"/>
      <c r="BZ232" s="4"/>
      <c r="CA232" s="4"/>
      <c r="CB232" s="4"/>
      <c r="CC232" s="4"/>
      <c r="CD232" s="4"/>
      <c r="CE232" s="4"/>
      <c r="CF232" s="4"/>
      <c r="CG232" s="4"/>
      <c r="CH232" s="4"/>
      <c r="CI232" s="13"/>
    </row>
    <row r="233" spans="1:87" ht="18" customHeight="1">
      <c r="A233" s="165"/>
      <c r="B233" s="12"/>
      <c r="C233" s="75" t="s">
        <v>33</v>
      </c>
      <c r="D233" s="12"/>
      <c r="E233" s="12"/>
      <c r="F233" s="1394" t="s">
        <v>433</v>
      </c>
      <c r="G233" s="1394"/>
      <c r="H233" s="1394"/>
      <c r="I233" s="1386">
        <f>IF(I145=1,1,0)</f>
        <v>0</v>
      </c>
      <c r="J233" s="1387"/>
      <c r="K233" s="76" t="s">
        <v>9</v>
      </c>
      <c r="L233" s="12"/>
      <c r="M233" s="1551"/>
      <c r="N233" s="1551"/>
      <c r="O233" s="1551"/>
      <c r="P233" s="1551"/>
      <c r="Q233" s="1551"/>
      <c r="R233" s="1551"/>
      <c r="S233" s="1552"/>
      <c r="T233" s="72" t="s">
        <v>30</v>
      </c>
      <c r="U233" s="105">
        <f>R234+R237</f>
        <v>0</v>
      </c>
      <c r="V233" s="88" t="s">
        <v>6</v>
      </c>
      <c r="W233" s="80" t="s">
        <v>34</v>
      </c>
      <c r="X233" s="29">
        <f t="shared" ref="X233:X238" si="156">IF($AH$13&gt;0,0,AZ233)</f>
        <v>0</v>
      </c>
      <c r="Y233" s="80" t="s">
        <v>39</v>
      </c>
      <c r="Z233" s="31">
        <f>IF($AH$13&gt;0,0,BB233)</f>
        <v>0</v>
      </c>
      <c r="AA233" s="26"/>
      <c r="AB233" s="26"/>
      <c r="AC233" s="491"/>
      <c r="AD233" s="26"/>
      <c r="AE233" s="634"/>
      <c r="AF233" s="217">
        <f>AF234+AF237+AF240</f>
        <v>0</v>
      </c>
      <c r="AG233" s="26"/>
      <c r="AH233" s="26"/>
      <c r="AI233" s="173"/>
      <c r="AJ233" s="173"/>
      <c r="AK233" s="173"/>
      <c r="AL233" s="173"/>
      <c r="AM233" s="173"/>
      <c r="AN233" s="174"/>
      <c r="AO233" s="126" t="s">
        <v>34</v>
      </c>
      <c r="AP233" s="344">
        <f>ROUND(AP56*AQ232,0)</f>
        <v>0</v>
      </c>
      <c r="AQ233" s="351" t="s">
        <v>39</v>
      </c>
      <c r="AR233" s="345">
        <f>ROUND(AR56*AQ232,0)</f>
        <v>0</v>
      </c>
      <c r="AS233" s="371"/>
      <c r="AT233" s="126" t="s">
        <v>34</v>
      </c>
      <c r="AU233" s="344">
        <f>IF(AV232=0,0,IF(AV232&gt;=10,1,IF(AV232&lt;=-10,-1,0)))</f>
        <v>0</v>
      </c>
      <c r="AV233" s="351" t="s">
        <v>39</v>
      </c>
      <c r="AW233" s="345">
        <f>IF(AV232=0,0,IF(AV232&gt;=4,1,IF(AV232&lt;=-4,-1,0)))</f>
        <v>0</v>
      </c>
      <c r="AX233" s="318"/>
      <c r="AY233" s="258" t="s">
        <v>34</v>
      </c>
      <c r="AZ233" s="372">
        <f t="shared" ref="AZ233:AZ238" si="157">IF($AG$2&gt;0,"限度超過",IF($A$176=$L$176,"限度超過",AP233+AU233))</f>
        <v>0</v>
      </c>
      <c r="BA233" s="319" t="s">
        <v>39</v>
      </c>
      <c r="BB233" s="127">
        <f>IF($AG$2&gt;0,"限度超過",IF($A$176=$L$176,"限度超過",AR233+AW233))</f>
        <v>0</v>
      </c>
      <c r="BC233" s="318"/>
      <c r="BD233" s="448" t="s">
        <v>34</v>
      </c>
      <c r="BE233" s="81">
        <f t="shared" ref="BE233:BE238" si="158">BE223</f>
        <v>0</v>
      </c>
      <c r="BF233" s="82" t="s">
        <v>39</v>
      </c>
      <c r="BG233" s="29">
        <f>BG223</f>
        <v>0</v>
      </c>
      <c r="BH233" s="12"/>
      <c r="BI233" s="80" t="s">
        <v>34</v>
      </c>
      <c r="BJ233" s="29">
        <f t="shared" ref="BJ233:BJ238" si="159">IF($A$176=$L$176,"限度超過",IF(BE233=0,0,BE233/$S$94))</f>
        <v>0</v>
      </c>
      <c r="BK233" s="80" t="s">
        <v>39</v>
      </c>
      <c r="BL233" s="29">
        <f>IF($A$176=$L$176,"限度超過",IF(BG233=0,0,BG233/$S$94))</f>
        <v>0</v>
      </c>
      <c r="BM233" s="12"/>
      <c r="BN233" s="30" t="s">
        <v>34</v>
      </c>
      <c r="BO233" s="29">
        <f t="shared" ref="BO233:BO238" si="160">IF($A$176=$L$176,"限度超過",IF($S$94&lt;=4,0,BJ233))</f>
        <v>0</v>
      </c>
      <c r="BP233" s="80" t="s">
        <v>39</v>
      </c>
      <c r="BQ233" s="29">
        <f>IF($A$176=$L$176,"限度超過",IF($S$94&lt;=4,0,BL233))</f>
        <v>0</v>
      </c>
      <c r="BR233" s="446"/>
      <c r="BS233" s="12"/>
      <c r="BT233" s="12"/>
      <c r="BU233" s="12"/>
      <c r="BV233" s="12"/>
      <c r="BW233" s="12"/>
      <c r="BX233" s="32"/>
      <c r="BY233" s="33" t="str">
        <f>BY223</f>
        <v>料率</v>
      </c>
      <c r="BZ233" s="33">
        <f>BZ223</f>
        <v>7</v>
      </c>
      <c r="CA233" s="33">
        <f>CA223</f>
        <v>5</v>
      </c>
      <c r="CB233" s="33">
        <f>CB223</f>
        <v>2</v>
      </c>
      <c r="CC233" s="576" t="s">
        <v>341</v>
      </c>
      <c r="CD233" s="4"/>
      <c r="CE233" s="4"/>
      <c r="CF233" s="4"/>
      <c r="CG233" s="4"/>
      <c r="CH233" s="4"/>
      <c r="CI233" s="13"/>
    </row>
    <row r="234" spans="1:87" ht="18" customHeight="1">
      <c r="A234" s="1378" t="s">
        <v>0</v>
      </c>
      <c r="B234" s="1556" t="s">
        <v>129</v>
      </c>
      <c r="C234" s="1382">
        <f>C57</f>
        <v>0</v>
      </c>
      <c r="D234" s="1010" t="s">
        <v>58</v>
      </c>
      <c r="E234" s="1389">
        <f>IF(H237&gt;0,$CE$100, 0)</f>
        <v>0</v>
      </c>
      <c r="F234" s="1395" t="s">
        <v>22</v>
      </c>
      <c r="G234" s="1010" t="s">
        <v>59</v>
      </c>
      <c r="H234" s="85">
        <f>IF(H237&gt;0,$CE$184,0)</f>
        <v>0</v>
      </c>
      <c r="I234" s="1385" t="s">
        <v>22</v>
      </c>
      <c r="J234" s="1010" t="s">
        <v>59</v>
      </c>
      <c r="K234" s="51">
        <f>入力画面!I35</f>
        <v>0</v>
      </c>
      <c r="L234" s="52" t="s">
        <v>5</v>
      </c>
      <c r="M234" s="1395"/>
      <c r="N234" s="1527"/>
      <c r="O234" s="636"/>
      <c r="P234" s="1392" t="s">
        <v>14</v>
      </c>
      <c r="Q234" s="1392"/>
      <c r="R234" s="1391">
        <f>ROUNDDOWN(IF(((C234-E234)*H234/H235)*K234/K235&lt;0,0,((C234-E234)*H234/H235)*K234/K235),0)</f>
        <v>0</v>
      </c>
      <c r="S234" s="1520" t="s">
        <v>6</v>
      </c>
      <c r="T234" s="72" t="s">
        <v>1</v>
      </c>
      <c r="U234" s="105">
        <f>IF(H237=0,0,K240)</f>
        <v>0</v>
      </c>
      <c r="V234" s="88" t="s">
        <v>6</v>
      </c>
      <c r="W234" s="30" t="s">
        <v>35</v>
      </c>
      <c r="X234" s="29">
        <f t="shared" si="156"/>
        <v>0</v>
      </c>
      <c r="Y234" s="30" t="s">
        <v>40</v>
      </c>
      <c r="Z234" s="31">
        <f>IF($AH$13&gt;0,0,BB234)</f>
        <v>0</v>
      </c>
      <c r="AA234" s="26"/>
      <c r="AB234" s="26"/>
      <c r="AC234" s="491"/>
      <c r="AD234" s="26"/>
      <c r="AE234" s="634"/>
      <c r="AF234" s="1423">
        <f>ROUNDDOWN(IF(((C234-E234)*H234/H235)&lt;0,0,((C234-E234)*H234/H235)),0)</f>
        <v>0</v>
      </c>
      <c r="AG234" s="26"/>
      <c r="AH234" s="26"/>
      <c r="AI234" s="173"/>
      <c r="AJ234" s="173"/>
      <c r="AK234" s="173"/>
      <c r="AL234" s="173"/>
      <c r="AM234" s="173"/>
      <c r="AN234" s="174"/>
      <c r="AO234" s="126" t="s">
        <v>35</v>
      </c>
      <c r="AP234" s="344">
        <f>ROUND(AP57*AQ232,0)</f>
        <v>0</v>
      </c>
      <c r="AQ234" s="351" t="s">
        <v>40</v>
      </c>
      <c r="AR234" s="345">
        <f>ROUND(AR57*AQ232,0)</f>
        <v>0</v>
      </c>
      <c r="AS234" s="371"/>
      <c r="AT234" s="126" t="s">
        <v>35</v>
      </c>
      <c r="AU234" s="344">
        <f>IF(AV232=0,0,IF(AV232&gt;=9,1,IF(AV232&lt;=-9,-1,0)))</f>
        <v>0</v>
      </c>
      <c r="AV234" s="351" t="s">
        <v>40</v>
      </c>
      <c r="AW234" s="345">
        <f>IF(AV232=0,0,IF(AV232&gt;=3,1,IF(AV232&lt;=-3,-1,0)))</f>
        <v>0</v>
      </c>
      <c r="AX234" s="318"/>
      <c r="AY234" s="262" t="s">
        <v>35</v>
      </c>
      <c r="AZ234" s="372">
        <f t="shared" si="157"/>
        <v>0</v>
      </c>
      <c r="BA234" s="319" t="s">
        <v>40</v>
      </c>
      <c r="BB234" s="127">
        <f>IF($AG$2&gt;0,"限度超過",IF($A$176=$L$176,"限度超過",AR234+AW234))</f>
        <v>0</v>
      </c>
      <c r="BC234" s="318"/>
      <c r="BD234" s="448" t="s">
        <v>35</v>
      </c>
      <c r="BE234" s="81">
        <f t="shared" si="158"/>
        <v>0</v>
      </c>
      <c r="BF234" s="82" t="s">
        <v>40</v>
      </c>
      <c r="BG234" s="29">
        <f>BG224</f>
        <v>0</v>
      </c>
      <c r="BH234" s="12"/>
      <c r="BI234" s="30" t="s">
        <v>35</v>
      </c>
      <c r="BJ234" s="29">
        <f t="shared" si="159"/>
        <v>0</v>
      </c>
      <c r="BK234" s="30" t="s">
        <v>40</v>
      </c>
      <c r="BL234" s="29">
        <f>IF($A$176=$L$176,"限度超過",IF(BG234=0,0,BG234/$S$94))</f>
        <v>0</v>
      </c>
      <c r="BM234" s="12"/>
      <c r="BN234" s="30" t="s">
        <v>35</v>
      </c>
      <c r="BO234" s="29">
        <f t="shared" si="160"/>
        <v>0</v>
      </c>
      <c r="BP234" s="30" t="s">
        <v>40</v>
      </c>
      <c r="BQ234" s="29">
        <f>IF($A$176=$L$176,"限度超過",IF($S$94&lt;=4,0,BL234))</f>
        <v>0</v>
      </c>
      <c r="BR234" s="446"/>
      <c r="BS234" s="12"/>
      <c r="BT234" s="12"/>
      <c r="BU234" s="12"/>
      <c r="BV234" s="12"/>
      <c r="BW234" s="12"/>
      <c r="BX234" s="32" t="s">
        <v>17</v>
      </c>
      <c r="BY234" s="44">
        <v>0</v>
      </c>
      <c r="BZ234" s="45">
        <f>$CF$185+$CF$186</f>
        <v>700</v>
      </c>
      <c r="CA234" s="45">
        <f>$CG$185+$CG$186</f>
        <v>500</v>
      </c>
      <c r="CB234" s="45">
        <f>$CH$185+$CH$186</f>
        <v>200</v>
      </c>
      <c r="CC234" s="576"/>
      <c r="CD234" s="4"/>
      <c r="CE234" s="4"/>
      <c r="CF234" s="4"/>
      <c r="CG234" s="4"/>
      <c r="CH234" s="4"/>
      <c r="CI234" s="13"/>
    </row>
    <row r="235" spans="1:87" ht="18" customHeight="1">
      <c r="A235" s="1378"/>
      <c r="B235" s="1556"/>
      <c r="C235" s="1382"/>
      <c r="D235" s="1010"/>
      <c r="E235" s="1389"/>
      <c r="F235" s="1395"/>
      <c r="G235" s="1010"/>
      <c r="H235" s="619">
        <v>100</v>
      </c>
      <c r="I235" s="1385"/>
      <c r="J235" s="1010"/>
      <c r="K235" s="55">
        <v>12</v>
      </c>
      <c r="L235" s="12" t="s">
        <v>5</v>
      </c>
      <c r="M235" s="1395"/>
      <c r="N235" s="1527"/>
      <c r="O235" s="636"/>
      <c r="P235" s="1392"/>
      <c r="Q235" s="1392"/>
      <c r="R235" s="1391"/>
      <c r="S235" s="1520"/>
      <c r="T235" s="72" t="s">
        <v>29</v>
      </c>
      <c r="U235" s="105">
        <f>U233+U234</f>
        <v>0</v>
      </c>
      <c r="V235" s="88" t="s">
        <v>6</v>
      </c>
      <c r="W235" s="30" t="s">
        <v>36</v>
      </c>
      <c r="X235" s="29">
        <f t="shared" si="156"/>
        <v>0</v>
      </c>
      <c r="Y235" s="30" t="s">
        <v>41</v>
      </c>
      <c r="Z235" s="31">
        <f>IF($AH$13&gt;0,0,BB235)</f>
        <v>0</v>
      </c>
      <c r="AA235" s="26"/>
      <c r="AB235" s="26"/>
      <c r="AC235" s="491"/>
      <c r="AD235" s="26"/>
      <c r="AE235" s="634"/>
      <c r="AF235" s="1424"/>
      <c r="AG235" s="26"/>
      <c r="AH235" s="26"/>
      <c r="AI235" s="173"/>
      <c r="AJ235" s="173"/>
      <c r="AK235" s="173"/>
      <c r="AL235" s="173"/>
      <c r="AM235" s="173"/>
      <c r="AN235" s="174"/>
      <c r="AO235" s="126" t="s">
        <v>36</v>
      </c>
      <c r="AP235" s="344">
        <f>ROUND(AP58*AQ232,0)</f>
        <v>0</v>
      </c>
      <c r="AQ235" s="351" t="s">
        <v>41</v>
      </c>
      <c r="AR235" s="345">
        <f>ROUND(AR58*AQ232,0)</f>
        <v>0</v>
      </c>
      <c r="AS235" s="350"/>
      <c r="AT235" s="126" t="s">
        <v>36</v>
      </c>
      <c r="AU235" s="344">
        <f>IF(AV232=0,0,IF(AV232&gt;=8,1,IF(AV232&lt;=-8,-1,0)))</f>
        <v>0</v>
      </c>
      <c r="AV235" s="351" t="s">
        <v>41</v>
      </c>
      <c r="AW235" s="345">
        <f>IF(AV232=0,0,IF(AV232&gt;=2,1,IF(AV232&lt;=-2,-1,0)))</f>
        <v>0</v>
      </c>
      <c r="AX235" s="318"/>
      <c r="AY235" s="262" t="s">
        <v>36</v>
      </c>
      <c r="AZ235" s="372">
        <f t="shared" si="157"/>
        <v>0</v>
      </c>
      <c r="BA235" s="319" t="s">
        <v>41</v>
      </c>
      <c r="BB235" s="127">
        <f>IF($AG$2&gt;0,"限度超過",IF($A$176=$L$176,"限度超過",AR235+AW235))</f>
        <v>0</v>
      </c>
      <c r="BC235" s="318"/>
      <c r="BD235" s="448" t="s">
        <v>36</v>
      </c>
      <c r="BE235" s="81">
        <f t="shared" si="158"/>
        <v>0</v>
      </c>
      <c r="BF235" s="82" t="s">
        <v>41</v>
      </c>
      <c r="BG235" s="29">
        <f>BG225</f>
        <v>0</v>
      </c>
      <c r="BH235" s="12"/>
      <c r="BI235" s="30" t="s">
        <v>36</v>
      </c>
      <c r="BJ235" s="29">
        <f t="shared" si="159"/>
        <v>0</v>
      </c>
      <c r="BK235" s="30" t="s">
        <v>41</v>
      </c>
      <c r="BL235" s="29">
        <f>IF($A$176=$L$176,"限度超過",IF(BG235=0,0,BG235/$S$94))</f>
        <v>0</v>
      </c>
      <c r="BM235" s="12"/>
      <c r="BN235" s="30" t="s">
        <v>36</v>
      </c>
      <c r="BO235" s="29">
        <f t="shared" si="160"/>
        <v>0</v>
      </c>
      <c r="BP235" s="30" t="s">
        <v>41</v>
      </c>
      <c r="BQ235" s="29">
        <f>IF($A$176=$L$176,"限度超過",IF($S$94&lt;=4,0,BL235))</f>
        <v>0</v>
      </c>
      <c r="BR235" s="446"/>
      <c r="BS235" s="12"/>
      <c r="BT235" s="12"/>
      <c r="BU235" s="12"/>
      <c r="BV235" s="12"/>
      <c r="BW235" s="12"/>
      <c r="BX235" s="32" t="s">
        <v>8</v>
      </c>
      <c r="BY235" s="45">
        <f>K237</f>
        <v>0</v>
      </c>
      <c r="BZ235" s="45">
        <f t="shared" ref="BZ235:BZ237" si="161">BY235</f>
        <v>0</v>
      </c>
      <c r="CA235" s="45">
        <f t="shared" ref="CA235:CA237" si="162">BZ235</f>
        <v>0</v>
      </c>
      <c r="CB235" s="45">
        <f t="shared" ref="CB235:CB237" si="163">CA235</f>
        <v>0</v>
      </c>
      <c r="CC235" s="576">
        <f>CB235</f>
        <v>0</v>
      </c>
      <c r="CD235" s="4"/>
      <c r="CE235" s="4"/>
      <c r="CF235" s="4"/>
      <c r="CG235" s="4"/>
      <c r="CH235" s="4"/>
      <c r="CI235" s="13"/>
    </row>
    <row r="236" spans="1:87" ht="18" customHeight="1">
      <c r="A236" s="165"/>
      <c r="B236" s="12"/>
      <c r="C236" s="620"/>
      <c r="D236" s="12"/>
      <c r="E236" s="12"/>
      <c r="F236" s="12"/>
      <c r="G236" s="12"/>
      <c r="H236" s="91"/>
      <c r="I236" s="75"/>
      <c r="J236" s="75"/>
      <c r="K236" s="92"/>
      <c r="L236" s="75"/>
      <c r="M236" s="93"/>
      <c r="N236" s="578">
        <f>IF(入力画面!E130=1,"未就学児",0)</f>
        <v>0</v>
      </c>
      <c r="O236" s="42">
        <f>IF(H237=0,0,$D$94)</f>
        <v>0</v>
      </c>
      <c r="P236" s="463">
        <f>IF(O237=0,0,"軽減額")</f>
        <v>0</v>
      </c>
      <c r="Q236" s="12"/>
      <c r="R236" s="95"/>
      <c r="S236" s="641"/>
      <c r="T236" s="96" t="s">
        <v>31</v>
      </c>
      <c r="U236" s="105">
        <f>ROUNDDOWN(U235,-2)</f>
        <v>0</v>
      </c>
      <c r="V236" s="88" t="s">
        <v>6</v>
      </c>
      <c r="W236" s="30" t="s">
        <v>43</v>
      </c>
      <c r="X236" s="29">
        <f t="shared" si="156"/>
        <v>0</v>
      </c>
      <c r="Y236" s="30" t="s">
        <v>42</v>
      </c>
      <c r="Z236" s="31">
        <f>IF($AH$13&gt;0,0,BB236)</f>
        <v>0</v>
      </c>
      <c r="AA236" s="4"/>
      <c r="AB236" s="4"/>
      <c r="AC236" s="489"/>
      <c r="AD236" s="4"/>
      <c r="AE236" s="497" t="str">
        <f>IF($AH$13&gt;0,"－",IF($AG$2&gt;0,"限度超過",IF(U237=Z237,"OK","ｱﾝﾏｯﾁ")))</f>
        <v>OK</v>
      </c>
      <c r="AF236" s="496"/>
      <c r="AG236" s="4"/>
      <c r="AI236" s="174"/>
      <c r="AJ236" s="174"/>
      <c r="AK236" s="174"/>
      <c r="AL236" s="174"/>
      <c r="AM236" s="174"/>
      <c r="AN236" s="174"/>
      <c r="AO236" s="126" t="s">
        <v>43</v>
      </c>
      <c r="AP236" s="344">
        <f>ROUND(AP59*AQ232,0)</f>
        <v>0</v>
      </c>
      <c r="AQ236" s="351" t="s">
        <v>42</v>
      </c>
      <c r="AR236" s="345">
        <f>ROUND(AR59*AQ232,0)</f>
        <v>0</v>
      </c>
      <c r="AS236" s="350"/>
      <c r="AT236" s="126" t="s">
        <v>43</v>
      </c>
      <c r="AU236" s="344">
        <f>IF(AV232=0,0,IF(AV232&gt;=7,1,IF(AV232&lt;=-7,-1,0)))</f>
        <v>0</v>
      </c>
      <c r="AV236" s="351" t="s">
        <v>42</v>
      </c>
      <c r="AW236" s="345">
        <f>IF(AV232=0,0,IF(AV232&gt;=1,1,IF(AV232&lt;=-1,-1,0)))</f>
        <v>0</v>
      </c>
      <c r="AX236" s="318"/>
      <c r="AY236" s="262" t="s">
        <v>43</v>
      </c>
      <c r="AZ236" s="372">
        <f t="shared" si="157"/>
        <v>0</v>
      </c>
      <c r="BA236" s="319" t="s">
        <v>42</v>
      </c>
      <c r="BB236" s="127">
        <f>IF($AG$2&gt;0,"限度超過",IF($A$176=$L$176,"限度超過",AR236+AW236))</f>
        <v>0</v>
      </c>
      <c r="BC236" s="318"/>
      <c r="BD236" s="448" t="s">
        <v>43</v>
      </c>
      <c r="BE236" s="81">
        <f t="shared" si="158"/>
        <v>0</v>
      </c>
      <c r="BF236" s="82" t="s">
        <v>42</v>
      </c>
      <c r="BG236" s="29">
        <f>BG226</f>
        <v>0</v>
      </c>
      <c r="BH236" s="12"/>
      <c r="BI236" s="30" t="s">
        <v>43</v>
      </c>
      <c r="BJ236" s="29">
        <f t="shared" si="159"/>
        <v>0</v>
      </c>
      <c r="BK236" s="30" t="s">
        <v>42</v>
      </c>
      <c r="BL236" s="29">
        <f>IF($A$176=$L$176,"限度超過",IF(BG236=0,0,BG236/$S$94))</f>
        <v>0</v>
      </c>
      <c r="BM236" s="12"/>
      <c r="BN236" s="30" t="s">
        <v>43</v>
      </c>
      <c r="BO236" s="29">
        <f t="shared" si="160"/>
        <v>0</v>
      </c>
      <c r="BP236" s="30" t="s">
        <v>42</v>
      </c>
      <c r="BQ236" s="29">
        <f>IF($A$176=$L$176,"限度超過",IF($S$94&lt;=4,0,BL236))</f>
        <v>0</v>
      </c>
      <c r="BR236" s="446"/>
      <c r="BS236" s="12"/>
      <c r="BT236" s="12"/>
      <c r="BU236" s="12"/>
      <c r="BV236" s="12"/>
      <c r="BW236" s="12"/>
      <c r="BX236" s="32" t="s">
        <v>25</v>
      </c>
      <c r="BY236" s="45">
        <f>K238</f>
        <v>0</v>
      </c>
      <c r="BZ236" s="45">
        <f t="shared" si="161"/>
        <v>0</v>
      </c>
      <c r="CA236" s="45">
        <f t="shared" si="162"/>
        <v>0</v>
      </c>
      <c r="CB236" s="45">
        <f t="shared" si="163"/>
        <v>0</v>
      </c>
      <c r="CC236" s="576">
        <f>CB236</f>
        <v>0</v>
      </c>
      <c r="CD236" s="4"/>
      <c r="CE236" s="4"/>
      <c r="CF236" s="4"/>
      <c r="CG236" s="4"/>
      <c r="CH236" s="4"/>
      <c r="CI236" s="13"/>
    </row>
    <row r="237" spans="1:87" ht="18" customHeight="1">
      <c r="A237" s="1378" t="s">
        <v>10</v>
      </c>
      <c r="B237" s="12"/>
      <c r="C237" s="12"/>
      <c r="D237" s="1379" t="s">
        <v>7</v>
      </c>
      <c r="E237" s="1389">
        <f>IF(H237&gt;0,$CE$185+$CE$186,0)</f>
        <v>0</v>
      </c>
      <c r="F237" s="97"/>
      <c r="G237" s="1010" t="s">
        <v>59</v>
      </c>
      <c r="H237" s="1390">
        <f>IF(B232=0,0,SUBTOTAL(3,B232))</f>
        <v>0</v>
      </c>
      <c r="I237" s="1385" t="s">
        <v>22</v>
      </c>
      <c r="J237" s="1010" t="s">
        <v>59</v>
      </c>
      <c r="K237" s="51">
        <f>IF(H237&gt;0,K234,0)</f>
        <v>0</v>
      </c>
      <c r="L237" s="52" t="s">
        <v>5</v>
      </c>
      <c r="M237" s="1527" t="s">
        <v>122</v>
      </c>
      <c r="N237" s="1548">
        <f>IF(O237=0,0,"―")</f>
        <v>0</v>
      </c>
      <c r="O237" s="1525">
        <f>IF(H237=0,0,IF(BY239=0,IF($D$94=7,BZ238,IF($D$94=5,CA238,IF($D$94=2,CB238,CC238))),IF($D$94=7,BZ238+BZ239,IF($D$94=5,CA238+CA239,IF($D$94=2,CB238+CB239,CC238+CC239)))))</f>
        <v>0</v>
      </c>
      <c r="P237" s="1525"/>
      <c r="Q237" s="1392" t="s">
        <v>14</v>
      </c>
      <c r="R237" s="1391">
        <f>IF(H237&gt;0,IF(K234=0,0,ROUNDDOWN(((E237*H237)*K237/K238)-O237,0)),0)</f>
        <v>0</v>
      </c>
      <c r="S237" s="1520" t="s">
        <v>6</v>
      </c>
      <c r="T237" s="1321" t="s">
        <v>32</v>
      </c>
      <c r="U237" s="1586">
        <f>IF($L$264=$A$264,"限度超過!",U235)</f>
        <v>0</v>
      </c>
      <c r="V237" s="1509" t="s">
        <v>6</v>
      </c>
      <c r="W237" s="30" t="s">
        <v>37</v>
      </c>
      <c r="X237" s="29">
        <f t="shared" si="156"/>
        <v>0</v>
      </c>
      <c r="Y237" s="1313" t="s">
        <v>44</v>
      </c>
      <c r="Z237" s="1420">
        <f>IF($AH$13&gt;0,0,BB237)</f>
        <v>0</v>
      </c>
      <c r="AB237" s="4"/>
      <c r="AC237" s="489"/>
      <c r="AD237" s="4"/>
      <c r="AE237" s="497" t="str">
        <f>IF($AG$2&gt;0,"限度超過",IF(X233+X234+X235+X236+X237+X238+Z233+Z234+Z235+Z236=Z237,"OK","エラー"))</f>
        <v>OK</v>
      </c>
      <c r="AF237" s="1508">
        <f>IF(H237&gt;0,IF(K234=0,0,ROUNDDOWN((E237*H237)-O237,0)),0)</f>
        <v>0</v>
      </c>
      <c r="AG237" s="4"/>
      <c r="AI237" s="174"/>
      <c r="AJ237" s="174"/>
      <c r="AK237" s="174"/>
      <c r="AL237" s="174"/>
      <c r="AM237" s="174"/>
      <c r="AN237" s="174"/>
      <c r="AO237" s="126" t="s">
        <v>37</v>
      </c>
      <c r="AP237" s="344">
        <f>ROUND(AP60*AQ232,0)</f>
        <v>0</v>
      </c>
      <c r="AQ237" s="352" t="s">
        <v>44</v>
      </c>
      <c r="AR237" s="346">
        <f>AP233+AP234+AP235+AP236+AP237+AP238+AR233+AR234+AR235+AR236</f>
        <v>0</v>
      </c>
      <c r="AS237" s="350"/>
      <c r="AT237" s="126" t="s">
        <v>37</v>
      </c>
      <c r="AU237" s="344">
        <f>IF(AV232=0,0,IF(AV232&gt;=6,1,IF(AV232&lt;=-6,-1,0)))</f>
        <v>0</v>
      </c>
      <c r="AV237" s="352" t="s">
        <v>44</v>
      </c>
      <c r="AW237" s="353">
        <f>AU233+AU234+AU235+AU236+AU237+AU238+AW233+AW234+AW235+AW236</f>
        <v>0</v>
      </c>
      <c r="AX237" s="318"/>
      <c r="AY237" s="262" t="s">
        <v>37</v>
      </c>
      <c r="AZ237" s="372">
        <f t="shared" si="157"/>
        <v>0</v>
      </c>
      <c r="BA237" s="320" t="s">
        <v>44</v>
      </c>
      <c r="BB237" s="417">
        <f>IF($AG$2&gt;0,"限度超過",AZ233+AZ234+AZ235+AZ236+AZ237+AZ238+BB233+BB234+BB235+BB236)</f>
        <v>0</v>
      </c>
      <c r="BC237" s="318"/>
      <c r="BD237" s="448" t="s">
        <v>37</v>
      </c>
      <c r="BE237" s="81">
        <f t="shared" si="158"/>
        <v>0</v>
      </c>
      <c r="BF237" s="440" t="s">
        <v>44</v>
      </c>
      <c r="BG237" s="29">
        <f>IF($A$176=$L$176,"限度超過",BE233+BE234+BE235+BE236+BE237+BE238+BG233+BG234+BG235+BG236)</f>
        <v>0</v>
      </c>
      <c r="BH237" s="12"/>
      <c r="BI237" s="30" t="s">
        <v>37</v>
      </c>
      <c r="BJ237" s="29">
        <f t="shared" si="159"/>
        <v>0</v>
      </c>
      <c r="BK237" s="98" t="s">
        <v>44</v>
      </c>
      <c r="BL237" s="29">
        <f>IF($A$176=$L$176,"限度超過",BJ233+BJ234+BJ235+BJ236+BJ237+BJ238+BL233+BL234+BL235+BL236)</f>
        <v>0</v>
      </c>
      <c r="BM237" s="12"/>
      <c r="BN237" s="30" t="s">
        <v>37</v>
      </c>
      <c r="BO237" s="29">
        <f t="shared" si="160"/>
        <v>0</v>
      </c>
      <c r="BP237" s="98" t="s">
        <v>44</v>
      </c>
      <c r="BQ237" s="29">
        <f>IF($A$176=$L$176,"限度超過",BO233+BO234+BO235+BO236+BO237+BO238+BQ233+BQ234+BQ235+BQ236)</f>
        <v>0</v>
      </c>
      <c r="BR237" s="446"/>
      <c r="BS237" s="12"/>
      <c r="BT237" s="12"/>
      <c r="BU237" s="12"/>
      <c r="BV237" s="12"/>
      <c r="BW237" s="12"/>
      <c r="BX237" s="32" t="s">
        <v>26</v>
      </c>
      <c r="BY237" s="26">
        <f>H237</f>
        <v>0</v>
      </c>
      <c r="BZ237" s="99">
        <f t="shared" si="161"/>
        <v>0</v>
      </c>
      <c r="CA237" s="99">
        <f t="shared" si="162"/>
        <v>0</v>
      </c>
      <c r="CB237" s="99">
        <f t="shared" si="163"/>
        <v>0</v>
      </c>
      <c r="CC237" s="576">
        <f>CB237</f>
        <v>0</v>
      </c>
      <c r="CD237" s="4"/>
      <c r="CE237" s="4"/>
      <c r="CF237" s="4"/>
      <c r="CG237" s="4"/>
      <c r="CH237" s="4"/>
      <c r="CI237" s="13"/>
    </row>
    <row r="238" spans="1:87" ht="18" customHeight="1">
      <c r="A238" s="1378"/>
      <c r="B238" s="12"/>
      <c r="C238" s="12"/>
      <c r="D238" s="1379"/>
      <c r="E238" s="1389"/>
      <c r="F238" s="12"/>
      <c r="G238" s="1010"/>
      <c r="H238" s="1390"/>
      <c r="I238" s="1385"/>
      <c r="J238" s="1010"/>
      <c r="K238" s="180">
        <f>IF(H237&gt;0,K235,0)</f>
        <v>0</v>
      </c>
      <c r="L238" s="12" t="s">
        <v>5</v>
      </c>
      <c r="M238" s="1527"/>
      <c r="N238" s="1548"/>
      <c r="O238" s="1525"/>
      <c r="P238" s="1525"/>
      <c r="Q238" s="1392"/>
      <c r="R238" s="1391"/>
      <c r="S238" s="1520"/>
      <c r="T238" s="1582"/>
      <c r="U238" s="1587"/>
      <c r="V238" s="1510"/>
      <c r="W238" s="30" t="s">
        <v>38</v>
      </c>
      <c r="X238" s="29">
        <f t="shared" si="156"/>
        <v>0</v>
      </c>
      <c r="Y238" s="1422"/>
      <c r="Z238" s="1421"/>
      <c r="AA238" s="73"/>
      <c r="AB238" s="73"/>
      <c r="AC238" s="223"/>
      <c r="AD238" s="73"/>
      <c r="AE238" s="73"/>
      <c r="AF238" s="1559"/>
      <c r="AG238" s="73"/>
      <c r="AH238" s="189"/>
      <c r="AI238" s="175"/>
      <c r="AJ238" s="175"/>
      <c r="AK238" s="175"/>
      <c r="AL238" s="175"/>
      <c r="AM238" s="175"/>
      <c r="AN238" s="174"/>
      <c r="AO238" s="126" t="s">
        <v>38</v>
      </c>
      <c r="AP238" s="344">
        <f>ROUND(AP61*AQ232,0)</f>
        <v>0</v>
      </c>
      <c r="AQ238" s="351" t="s">
        <v>75</v>
      </c>
      <c r="AR238" s="330">
        <f>IF($AG$2&gt;0,"限度超過",U237)</f>
        <v>0</v>
      </c>
      <c r="AS238" s="347"/>
      <c r="AT238" s="126" t="s">
        <v>38</v>
      </c>
      <c r="AU238" s="344">
        <f>IF(AV232=0,0,IF(AV232&gt;=5,1,IF(AV232&lt;=-5,-1,0)))</f>
        <v>0</v>
      </c>
      <c r="AV238" s="351"/>
      <c r="AW238" s="354" t="str">
        <f>IF(AU233+AU234+AU235+AU236+AU237+AU238+AW233+AW234+AW235+AW236=AV232,"計算ＯＫ","エラー発生")</f>
        <v>計算ＯＫ</v>
      </c>
      <c r="AX238" s="318"/>
      <c r="AY238" s="262" t="s">
        <v>38</v>
      </c>
      <c r="AZ238" s="372">
        <f t="shared" si="157"/>
        <v>0</v>
      </c>
      <c r="BA238" s="319"/>
      <c r="BB238" s="418">
        <f>IF($AG$2&gt;0,"限度超過",IF($A$264=$L$264,"限度超過",$U$237))</f>
        <v>0</v>
      </c>
      <c r="BC238" s="318"/>
      <c r="BD238" s="448" t="s">
        <v>38</v>
      </c>
      <c r="BE238" s="81">
        <f t="shared" si="158"/>
        <v>0</v>
      </c>
      <c r="BF238" s="82"/>
      <c r="BG238" s="100"/>
      <c r="BH238" s="12"/>
      <c r="BI238" s="30" t="s">
        <v>38</v>
      </c>
      <c r="BJ238" s="29">
        <f t="shared" si="159"/>
        <v>0</v>
      </c>
      <c r="BK238" s="30"/>
      <c r="BL238" s="100"/>
      <c r="BM238" s="12"/>
      <c r="BN238" s="30" t="s">
        <v>38</v>
      </c>
      <c r="BO238" s="29">
        <f t="shared" si="160"/>
        <v>0</v>
      </c>
      <c r="BP238" s="30"/>
      <c r="BQ238" s="100"/>
      <c r="BR238" s="446"/>
      <c r="BS238" s="12"/>
      <c r="BT238" s="12"/>
      <c r="BU238" s="12"/>
      <c r="BV238" s="12"/>
      <c r="BW238" s="12"/>
      <c r="BX238" s="67" t="s">
        <v>27</v>
      </c>
      <c r="BY238" s="45">
        <f>IF(BY237&gt;0,ROUNDDOWN(BY234*BY237*BY235/BY236,0),0)</f>
        <v>0</v>
      </c>
      <c r="BZ238" s="45">
        <f>IF(BZ237&gt;0,ROUNDDOWN(BZ234*BZ237*BZ235/BZ236,0),0)</f>
        <v>0</v>
      </c>
      <c r="CA238" s="45">
        <f>IF(CA237&gt;0,ROUNDDOWN(CA234*CA237*CA235/CA236,0),0)</f>
        <v>0</v>
      </c>
      <c r="CB238" s="45">
        <f>IF(CB237&gt;0,ROUNDDOWN(CB234*CB237*CB235/CB236,0),0)</f>
        <v>0</v>
      </c>
      <c r="CC238" s="576">
        <v>0</v>
      </c>
      <c r="CD238" s="4"/>
      <c r="CE238" s="4"/>
      <c r="CF238" s="4"/>
      <c r="CG238" s="4"/>
      <c r="CH238" s="4"/>
      <c r="CI238" s="13"/>
    </row>
    <row r="239" spans="1:87" ht="18" customHeight="1">
      <c r="A239" s="626"/>
      <c r="B239" s="75" t="s">
        <v>118</v>
      </c>
      <c r="C239" s="12"/>
      <c r="D239" s="629"/>
      <c r="E239" s="630"/>
      <c r="F239" s="12"/>
      <c r="G239" s="620"/>
      <c r="H239" s="632"/>
      <c r="I239" s="633"/>
      <c r="J239" s="620"/>
      <c r="K239" s="180"/>
      <c r="L239" s="12"/>
      <c r="M239" s="636"/>
      <c r="N239" s="636"/>
      <c r="O239" s="631"/>
      <c r="P239" s="631"/>
      <c r="Q239" s="628"/>
      <c r="R239" s="637"/>
      <c r="S239" s="641"/>
      <c r="T239" s="620"/>
      <c r="U239" s="182"/>
      <c r="V239" s="620"/>
      <c r="W239" s="4"/>
      <c r="X239" s="26"/>
      <c r="Y239" s="170"/>
      <c r="Z239" s="185"/>
      <c r="AA239" s="26"/>
      <c r="AB239" s="26"/>
      <c r="AC239" s="491"/>
      <c r="AD239" s="26"/>
      <c r="AE239" s="634"/>
      <c r="AF239" s="234"/>
      <c r="AG239" s="26"/>
      <c r="AH239" s="26"/>
      <c r="AI239" s="173"/>
      <c r="AJ239" s="179"/>
      <c r="AK239" s="179"/>
      <c r="AL239" s="179"/>
      <c r="AM239" s="179"/>
      <c r="AN239" s="174"/>
      <c r="AO239" s="348"/>
      <c r="AP239" s="348"/>
      <c r="AQ239" s="349"/>
      <c r="AR239" s="349"/>
      <c r="AS239" s="347"/>
      <c r="AT239" s="347"/>
      <c r="AU239" s="347"/>
      <c r="AV239" s="347"/>
      <c r="AW239" s="347"/>
      <c r="AX239" s="318"/>
      <c r="AY239" s="419"/>
      <c r="AZ239" s="348"/>
      <c r="BA239" s="349"/>
      <c r="BB239" s="464" t="str">
        <f>IF(BB237=BB238,"OK","エラー")</f>
        <v>OK</v>
      </c>
      <c r="BC239" s="318"/>
      <c r="BD239" s="449"/>
      <c r="BF239" s="4" t="s">
        <v>206</v>
      </c>
      <c r="BH239" s="12"/>
      <c r="BM239" s="12"/>
      <c r="BR239" s="446"/>
      <c r="BS239" s="12"/>
      <c r="BT239" s="12"/>
      <c r="BU239" s="12"/>
      <c r="BV239" s="12"/>
      <c r="BW239" s="12"/>
      <c r="BX239" s="32" t="s">
        <v>340</v>
      </c>
      <c r="BY239" s="576">
        <f>IF(入力画面!E52=1,1,0)</f>
        <v>0</v>
      </c>
      <c r="BZ239" s="576">
        <f>IF($BY$239=1,ROUNDDOWN($CF$190*BZ235/BZ236,0),0)</f>
        <v>0</v>
      </c>
      <c r="CA239" s="576">
        <f>IF($BY$239=1,ROUNDDOWN($CG$190*CA235/CA236,0),0)</f>
        <v>0</v>
      </c>
      <c r="CB239" s="576">
        <f>IF($BY$239=1,ROUNDDOWN($CH$190*CB235/CB236,0),0)</f>
        <v>0</v>
      </c>
      <c r="CC239" s="576">
        <f>IF($BY$239=1,ROUNDDOWN($CE$190*CC235/CC236,0),0)</f>
        <v>0</v>
      </c>
      <c r="CD239" s="4"/>
      <c r="CE239" s="4"/>
      <c r="CF239" s="4"/>
      <c r="CG239" s="4"/>
      <c r="CH239" s="4"/>
      <c r="CI239" s="13"/>
    </row>
    <row r="240" spans="1:87" ht="18" customHeight="1">
      <c r="A240" s="58" t="s">
        <v>1</v>
      </c>
      <c r="B240" s="52"/>
      <c r="C240" s="187">
        <f>IF(H237&gt;0,$X$190,0)</f>
        <v>0</v>
      </c>
      <c r="D240" s="201" t="s">
        <v>6</v>
      </c>
      <c r="E240" s="60" t="s">
        <v>59</v>
      </c>
      <c r="F240" s="1377">
        <f>K234</f>
        <v>0</v>
      </c>
      <c r="G240" s="1377"/>
      <c r="H240" s="214" t="s">
        <v>5</v>
      </c>
      <c r="I240" s="1388" t="s">
        <v>14</v>
      </c>
      <c r="J240" s="1388"/>
      <c r="K240" s="1377">
        <f>C240*F240</f>
        <v>0</v>
      </c>
      <c r="L240" s="1377"/>
      <c r="M240" s="202" t="s">
        <v>6</v>
      </c>
      <c r="N240" s="202"/>
      <c r="O240" s="203"/>
      <c r="P240" s="203"/>
      <c r="Q240" s="63"/>
      <c r="R240" s="204"/>
      <c r="S240" s="59"/>
      <c r="T240" s="622"/>
      <c r="U240" s="205"/>
      <c r="V240" s="622"/>
      <c r="W240" s="186"/>
      <c r="X240" s="187"/>
      <c r="Y240" s="206"/>
      <c r="Z240" s="642"/>
      <c r="AA240" s="26"/>
      <c r="AB240" s="26"/>
      <c r="AC240" s="491"/>
      <c r="AD240" s="26"/>
      <c r="AE240" s="634"/>
      <c r="AF240" s="235"/>
      <c r="AG240" s="26"/>
      <c r="AH240" s="26"/>
      <c r="AI240" s="173"/>
      <c r="AJ240" s="179"/>
      <c r="AK240" s="179"/>
      <c r="AL240" s="179"/>
      <c r="AM240" s="179"/>
      <c r="AN240" s="174"/>
      <c r="AO240" s="1407" t="s">
        <v>424</v>
      </c>
      <c r="AP240" s="1407"/>
      <c r="AQ240" s="1407"/>
      <c r="AR240" s="1407"/>
      <c r="AS240" s="347"/>
      <c r="AT240" s="1406" t="s">
        <v>419</v>
      </c>
      <c r="AU240" s="1406"/>
      <c r="AV240" s="347"/>
      <c r="AW240" s="347"/>
      <c r="AX240" s="318"/>
      <c r="AY240" s="646" t="s">
        <v>419</v>
      </c>
      <c r="AZ240" s="647"/>
      <c r="BA240" s="349"/>
      <c r="BB240" s="421"/>
      <c r="BC240" s="318"/>
      <c r="BD240" s="639" t="s">
        <v>230</v>
      </c>
      <c r="BE240" s="638"/>
      <c r="BF240" s="4" t="s">
        <v>258</v>
      </c>
      <c r="BH240" s="12"/>
      <c r="BI240" s="638" t="s">
        <v>230</v>
      </c>
      <c r="BJ240" s="638"/>
      <c r="BM240" s="12"/>
      <c r="BN240" s="638" t="s">
        <v>230</v>
      </c>
      <c r="BO240" s="638"/>
      <c r="BR240" s="446"/>
      <c r="BS240" s="12"/>
      <c r="BT240" s="12"/>
      <c r="BU240" s="12"/>
      <c r="BV240" s="12"/>
      <c r="BW240" s="12"/>
      <c r="BX240" s="4"/>
      <c r="BY240" s="26"/>
      <c r="BZ240" s="26"/>
      <c r="CA240" s="26"/>
      <c r="CB240" s="26"/>
      <c r="CC240" s="4"/>
      <c r="CD240" s="4"/>
      <c r="CE240" s="4"/>
      <c r="CF240" s="4"/>
      <c r="CG240" s="4"/>
      <c r="CH240" s="4"/>
      <c r="CI240" s="13"/>
    </row>
    <row r="241" spans="1:87" ht="18" customHeight="1">
      <c r="D241" s="101"/>
      <c r="E241" s="640"/>
      <c r="G241" s="9"/>
      <c r="H241" s="102"/>
      <c r="I241" s="643"/>
      <c r="J241" s="9"/>
      <c r="K241" s="18"/>
      <c r="M241" s="103"/>
      <c r="P241" s="103"/>
      <c r="Q241" s="640"/>
      <c r="R241" s="104"/>
      <c r="S241" s="68"/>
      <c r="T241" s="68"/>
      <c r="U241" s="68"/>
      <c r="V241" s="18"/>
      <c r="AA241" s="26"/>
      <c r="AB241" s="26"/>
      <c r="AC241" s="491"/>
      <c r="AD241" s="26"/>
      <c r="AE241" s="634"/>
      <c r="AF241" s="231"/>
      <c r="AG241" s="26"/>
      <c r="AH241" s="26"/>
      <c r="AI241" s="173"/>
      <c r="AJ241" s="173"/>
      <c r="AK241" s="173"/>
      <c r="AL241" s="173"/>
      <c r="AM241" s="173"/>
      <c r="AN241" s="174"/>
      <c r="AO241" s="367" t="s">
        <v>217</v>
      </c>
      <c r="AP241" s="1401"/>
      <c r="AQ241" s="1401"/>
      <c r="AR241" s="1401"/>
      <c r="AS241" s="369"/>
      <c r="AT241" s="1413" t="s">
        <v>218</v>
      </c>
      <c r="AU241" s="1413"/>
      <c r="AV241" s="1413"/>
      <c r="AW241" s="1413"/>
      <c r="AX241" s="318"/>
      <c r="AY241" s="416" t="s">
        <v>224</v>
      </c>
      <c r="AZ241" s="1448" t="s">
        <v>223</v>
      </c>
      <c r="BA241" s="1448"/>
      <c r="BB241" s="1449"/>
      <c r="BC241" s="318"/>
      <c r="BD241" s="1426" t="s">
        <v>261</v>
      </c>
      <c r="BE241" s="1427"/>
      <c r="BF241" s="1427"/>
      <c r="BG241" s="1427"/>
      <c r="BH241" s="12"/>
      <c r="BI241" s="437" t="s">
        <v>262</v>
      </c>
      <c r="BJ241" s="1438" t="s">
        <v>260</v>
      </c>
      <c r="BK241" s="1438"/>
      <c r="BL241" s="1438"/>
      <c r="BM241" s="12"/>
      <c r="BN241" s="12"/>
      <c r="BO241" s="143" t="s">
        <v>263</v>
      </c>
      <c r="BP241" s="12" t="s">
        <v>88</v>
      </c>
      <c r="BQ241" s="12"/>
      <c r="BR241" s="446"/>
      <c r="BS241" s="12"/>
      <c r="BT241" s="12"/>
      <c r="BU241" s="12"/>
      <c r="BV241" s="12"/>
      <c r="BW241" s="12"/>
      <c r="BX241" s="4"/>
      <c r="BY241" s="4"/>
      <c r="BZ241" s="4"/>
      <c r="CA241" s="4"/>
      <c r="CB241" s="4"/>
      <c r="CC241" s="4"/>
      <c r="CD241" s="4"/>
      <c r="CE241" s="4"/>
      <c r="CF241" s="4"/>
      <c r="CG241" s="4"/>
      <c r="CH241" s="4"/>
      <c r="CI241" s="13"/>
    </row>
    <row r="242" spans="1:87" ht="18" customHeight="1">
      <c r="A242" s="194" t="s">
        <v>45</v>
      </c>
      <c r="B242" s="1396">
        <f>IF(I243=1,B65,0)</f>
        <v>0</v>
      </c>
      <c r="C242" s="1396"/>
      <c r="D242" s="1396"/>
      <c r="E242" s="644" t="s">
        <v>11</v>
      </c>
      <c r="F242" s="1398" t="s">
        <v>57</v>
      </c>
      <c r="G242" s="1398"/>
      <c r="H242" s="1399"/>
      <c r="I242" s="1380">
        <f>IF(I154=1,1,0)</f>
        <v>0</v>
      </c>
      <c r="J242" s="1381"/>
      <c r="K242" s="1515">
        <f>IF(H247=0,0,IF($K$185=0, "加入月が未入力です!！",IF($L$176=$A$176,"限度超過額に達しているため計算不可能!!",IF(U244-U243=U245,"エラー名前を入力されているが加入月未入力!！",IF(H247&gt;K244,"加入月未入力エラー!！",0)))))</f>
        <v>0</v>
      </c>
      <c r="L242" s="1516"/>
      <c r="M242" s="1516"/>
      <c r="N242" s="1516"/>
      <c r="O242" s="1516"/>
      <c r="P242" s="1516"/>
      <c r="Q242" s="1516"/>
      <c r="R242" s="1516"/>
      <c r="S242" s="1517"/>
      <c r="T242" s="623" t="s">
        <v>47</v>
      </c>
      <c r="U242" s="1605">
        <f>IF(U247&gt;0,"子ども・子育て分",0)</f>
        <v>0</v>
      </c>
      <c r="V242" s="1606"/>
      <c r="W242" s="1419" t="s">
        <v>46</v>
      </c>
      <c r="X242" s="1278"/>
      <c r="Y242" s="1278"/>
      <c r="Z242" s="1279"/>
      <c r="AA242" s="26"/>
      <c r="AB242" s="26"/>
      <c r="AC242" s="491"/>
      <c r="AD242" s="26"/>
      <c r="AE242" s="634"/>
      <c r="AF242" s="236" t="s">
        <v>117</v>
      </c>
      <c r="AG242" s="26"/>
      <c r="AH242" s="274">
        <f>IF(K244=0,0,IF(K244&lt;12,1,0))</f>
        <v>0</v>
      </c>
      <c r="AI242" s="173"/>
      <c r="AJ242" s="173"/>
      <c r="AK242" s="173"/>
      <c r="AL242" s="173"/>
      <c r="AM242" s="173"/>
      <c r="AN242" s="366" t="s">
        <v>45</v>
      </c>
      <c r="AO242" s="1319" t="s">
        <v>220</v>
      </c>
      <c r="AP242" s="1402"/>
      <c r="AQ242" s="1403">
        <f>IF(AR70=0,0,ROUNDDOWN(AR248/AR70,8))</f>
        <v>0</v>
      </c>
      <c r="AR242" s="1404"/>
      <c r="AS242" s="370"/>
      <c r="AT242" s="1319" t="s">
        <v>213</v>
      </c>
      <c r="AU242" s="1402"/>
      <c r="AV242" s="1411">
        <f>IF($AG$2&gt;0,0,AR248-AR247)</f>
        <v>0</v>
      </c>
      <c r="AW242" s="1412"/>
      <c r="AX242" s="318"/>
      <c r="AY242" s="1408" t="s">
        <v>46</v>
      </c>
      <c r="AZ242" s="1402"/>
      <c r="BA242" s="1450">
        <f>IF(R244+R247=0,0,IF(K245&gt;K244,"期割がアンマッチ使用禁止↓",0))</f>
        <v>0</v>
      </c>
      <c r="BB242" s="1451"/>
      <c r="BC242" s="318"/>
      <c r="BD242" s="1435" t="s">
        <v>46</v>
      </c>
      <c r="BE242" s="1434"/>
      <c r="BF242" s="1436" t="s">
        <v>87</v>
      </c>
      <c r="BG242" s="1437"/>
      <c r="BH242" s="12"/>
      <c r="BI242" s="1253" t="s">
        <v>89</v>
      </c>
      <c r="BJ242" s="1434"/>
      <c r="BK242" s="438"/>
      <c r="BL242" s="439"/>
      <c r="BM242" s="12"/>
      <c r="BN242" s="1253" t="s">
        <v>46</v>
      </c>
      <c r="BO242" s="1434"/>
      <c r="BP242" s="1431"/>
      <c r="BQ242" s="1433"/>
      <c r="BR242" s="446"/>
      <c r="BS242" s="12"/>
      <c r="BT242" s="12"/>
      <c r="BU242" s="12"/>
      <c r="BV242" s="12"/>
      <c r="BW242" s="12"/>
      <c r="BX242" s="4"/>
      <c r="BY242" s="4"/>
      <c r="BZ242" s="4"/>
      <c r="CA242" s="4"/>
      <c r="CB242" s="4"/>
      <c r="CC242" s="4"/>
      <c r="CD242" s="4"/>
      <c r="CE242" s="4"/>
      <c r="CF242" s="4"/>
      <c r="CG242" s="4"/>
      <c r="CH242" s="4"/>
      <c r="CI242" s="13"/>
    </row>
    <row r="243" spans="1:87" ht="18" customHeight="1">
      <c r="A243" s="165"/>
      <c r="B243" s="12"/>
      <c r="C243" s="75" t="s">
        <v>33</v>
      </c>
      <c r="D243" s="12"/>
      <c r="E243" s="12"/>
      <c r="F243" s="1394" t="s">
        <v>433</v>
      </c>
      <c r="G243" s="1394"/>
      <c r="H243" s="1394"/>
      <c r="I243" s="1386">
        <f>IF(I155=1,1,0)</f>
        <v>0</v>
      </c>
      <c r="J243" s="1387"/>
      <c r="K243" s="76" t="s">
        <v>9</v>
      </c>
      <c r="L243" s="12"/>
      <c r="M243" s="1551"/>
      <c r="N243" s="1551"/>
      <c r="O243" s="1551"/>
      <c r="P243" s="1551"/>
      <c r="Q243" s="1551"/>
      <c r="R243" s="1551"/>
      <c r="S243" s="1552"/>
      <c r="T243" s="72" t="s">
        <v>30</v>
      </c>
      <c r="U243" s="105">
        <f>R244+R247</f>
        <v>0</v>
      </c>
      <c r="V243" s="88" t="s">
        <v>6</v>
      </c>
      <c r="W243" s="80" t="s">
        <v>34</v>
      </c>
      <c r="X243" s="29">
        <f t="shared" ref="X243:X248" si="164">IF($AH$13&gt;0,0,AZ243)</f>
        <v>0</v>
      </c>
      <c r="Y243" s="80" t="s">
        <v>39</v>
      </c>
      <c r="Z243" s="31">
        <f>IF($AH$13&gt;0,0,BB243)</f>
        <v>0</v>
      </c>
      <c r="AA243" s="4"/>
      <c r="AB243" s="4"/>
      <c r="AC243" s="489"/>
      <c r="AD243" s="4"/>
      <c r="AE243" s="74"/>
      <c r="AF243" s="217">
        <f>AF244+AF247+AF250</f>
        <v>0</v>
      </c>
      <c r="AG243" s="4"/>
      <c r="AH243" s="4"/>
      <c r="AI243" s="174"/>
      <c r="AJ243" s="174"/>
      <c r="AK243" s="174"/>
      <c r="AL243" s="174"/>
      <c r="AM243" s="174"/>
      <c r="AN243" s="174"/>
      <c r="AO243" s="126" t="s">
        <v>34</v>
      </c>
      <c r="AP243" s="344">
        <f>ROUND(AP66*AQ242,0)</f>
        <v>0</v>
      </c>
      <c r="AQ243" s="351" t="s">
        <v>39</v>
      </c>
      <c r="AR243" s="345">
        <f>ROUND(AR66*AQ242,0)</f>
        <v>0</v>
      </c>
      <c r="AS243" s="371"/>
      <c r="AT243" s="126" t="s">
        <v>34</v>
      </c>
      <c r="AU243" s="344">
        <f>IF(AV242=0,0,IF(AV242&gt;=10,1,IF(AV242&lt;=-10,-1,0)))</f>
        <v>0</v>
      </c>
      <c r="AV243" s="351" t="s">
        <v>39</v>
      </c>
      <c r="AW243" s="345">
        <f>IF(AV242=0,0,IF(AV242&gt;=4,1,IF(AV242&lt;=-4,-1,0)))</f>
        <v>0</v>
      </c>
      <c r="AX243" s="318"/>
      <c r="AY243" s="258" t="s">
        <v>34</v>
      </c>
      <c r="AZ243" s="372">
        <f t="shared" ref="AZ243:AZ248" si="165">IF($AG$2&gt;0,"限度超過",IF($A$176=$L$176,"限度超過",AP243+AU243))</f>
        <v>0</v>
      </c>
      <c r="BA243" s="319" t="s">
        <v>39</v>
      </c>
      <c r="BB243" s="127">
        <f>IF($AG$2&gt;0,"限度超過",IF($A$176=$L$176,"限度超過",AR243+AW243))</f>
        <v>0</v>
      </c>
      <c r="BC243" s="318"/>
      <c r="BD243" s="448" t="s">
        <v>34</v>
      </c>
      <c r="BE243" s="81">
        <f t="shared" ref="BE243:BE248" si="166">BE233</f>
        <v>0</v>
      </c>
      <c r="BF243" s="82" t="s">
        <v>39</v>
      </c>
      <c r="BG243" s="29">
        <f>BG233</f>
        <v>0</v>
      </c>
      <c r="BH243" s="12"/>
      <c r="BI243" s="80" t="s">
        <v>34</v>
      </c>
      <c r="BJ243" s="29">
        <f t="shared" ref="BJ243:BJ248" si="167">IF($A$176=$L$176,"限度超過",IF(BE243=0,0,BE243/$S$94))</f>
        <v>0</v>
      </c>
      <c r="BK243" s="80" t="s">
        <v>39</v>
      </c>
      <c r="BL243" s="29">
        <f>IF($A$176=$L$176,"限度超過",IF(BG243=0,0,BG243/$S$94))</f>
        <v>0</v>
      </c>
      <c r="BM243" s="12"/>
      <c r="BN243" s="30" t="s">
        <v>34</v>
      </c>
      <c r="BO243" s="29">
        <f t="shared" ref="BO243:BO248" si="168">IF($A$176=$L$176,"限度超過",IF($S$94&lt;=5,0,BJ243))</f>
        <v>0</v>
      </c>
      <c r="BP243" s="80" t="s">
        <v>39</v>
      </c>
      <c r="BQ243" s="29">
        <f>IF($A$176=$L$176,"限度超過",IF($S$94&lt;=5,0,BL243))</f>
        <v>0</v>
      </c>
      <c r="BR243" s="446"/>
      <c r="BS243" s="12"/>
      <c r="BT243" s="12"/>
      <c r="BU243" s="12"/>
      <c r="BV243" s="12"/>
      <c r="BW243" s="12"/>
      <c r="BX243" s="32"/>
      <c r="BY243" s="33" t="str">
        <f>BY233</f>
        <v>料率</v>
      </c>
      <c r="BZ243" s="33">
        <f>BZ233</f>
        <v>7</v>
      </c>
      <c r="CA243" s="33">
        <f>CA233</f>
        <v>5</v>
      </c>
      <c r="CB243" s="33">
        <f>CB233</f>
        <v>2</v>
      </c>
      <c r="CC243" s="576" t="s">
        <v>341</v>
      </c>
      <c r="CD243" s="4"/>
      <c r="CE243" s="4"/>
      <c r="CF243" s="4"/>
      <c r="CG243" s="4"/>
      <c r="CH243" s="4"/>
      <c r="CI243" s="13"/>
    </row>
    <row r="244" spans="1:87" ht="18" customHeight="1">
      <c r="A244" s="1378" t="s">
        <v>0</v>
      </c>
      <c r="B244" s="1556" t="s">
        <v>129</v>
      </c>
      <c r="C244" s="1382">
        <f>C67</f>
        <v>0</v>
      </c>
      <c r="D244" s="1010" t="s">
        <v>58</v>
      </c>
      <c r="E244" s="1389">
        <f>IF(H247&gt;0,$CE$100, 0)</f>
        <v>0</v>
      </c>
      <c r="F244" s="1395" t="s">
        <v>22</v>
      </c>
      <c r="G244" s="1010" t="s">
        <v>59</v>
      </c>
      <c r="H244" s="85">
        <f>IF(H247&gt;0,$CE$184,0)</f>
        <v>0</v>
      </c>
      <c r="I244" s="1385" t="s">
        <v>22</v>
      </c>
      <c r="J244" s="1010" t="s">
        <v>59</v>
      </c>
      <c r="K244" s="51">
        <f>入力画面!I40</f>
        <v>0</v>
      </c>
      <c r="L244" s="52" t="s">
        <v>5</v>
      </c>
      <c r="M244" s="1395"/>
      <c r="N244" s="1527"/>
      <c r="O244" s="636"/>
      <c r="P244" s="1392" t="s">
        <v>14</v>
      </c>
      <c r="Q244" s="1392"/>
      <c r="R244" s="1391">
        <f>ROUNDDOWN(IF(((C244-E244)*H244/H245)*K244/K245&lt;0,0,((C244-E244)*H244/H245)*K244/K245),0)</f>
        <v>0</v>
      </c>
      <c r="S244" s="1520" t="s">
        <v>6</v>
      </c>
      <c r="T244" s="72" t="s">
        <v>1</v>
      </c>
      <c r="U244" s="105">
        <f>IF(H247=0,0,K250)</f>
        <v>0</v>
      </c>
      <c r="V244" s="88" t="s">
        <v>6</v>
      </c>
      <c r="W244" s="30" t="s">
        <v>35</v>
      </c>
      <c r="X244" s="29">
        <f t="shared" si="164"/>
        <v>0</v>
      </c>
      <c r="Y244" s="30" t="s">
        <v>40</v>
      </c>
      <c r="Z244" s="31">
        <f>IF($AH$13&gt;0,0,BB244)</f>
        <v>0</v>
      </c>
      <c r="AB244" s="4"/>
      <c r="AC244" s="489"/>
      <c r="AD244" s="4"/>
      <c r="AE244" s="74"/>
      <c r="AF244" s="1423">
        <f>ROUNDDOWN(IF(((C244-E244)*H244/H245)&lt;0,0,((C244-E244)*H244/H245)),0)</f>
        <v>0</v>
      </c>
      <c r="AG244" s="4"/>
      <c r="AH244" s="4"/>
      <c r="AI244" s="174"/>
      <c r="AJ244" s="174"/>
      <c r="AK244" s="174"/>
      <c r="AL244" s="174"/>
      <c r="AM244" s="174"/>
      <c r="AN244" s="174"/>
      <c r="AO244" s="126" t="s">
        <v>35</v>
      </c>
      <c r="AP244" s="344">
        <f>ROUND(AP67*AQ242,0)</f>
        <v>0</v>
      </c>
      <c r="AQ244" s="351" t="s">
        <v>40</v>
      </c>
      <c r="AR244" s="345">
        <f>ROUND(AR67*AQ242,0)</f>
        <v>0</v>
      </c>
      <c r="AS244" s="371"/>
      <c r="AT244" s="126" t="s">
        <v>35</v>
      </c>
      <c r="AU244" s="344">
        <f>IF(AV242=0,0,IF(AV242&gt;=9,1,IF(AV242&lt;=-9,-1,0)))</f>
        <v>0</v>
      </c>
      <c r="AV244" s="351" t="s">
        <v>40</v>
      </c>
      <c r="AW244" s="345">
        <f>IF(AV242=0,0,IF(AV242&gt;=3,1,IF(AV242&lt;=-3,-1,0)))</f>
        <v>0</v>
      </c>
      <c r="AX244" s="318"/>
      <c r="AY244" s="262" t="s">
        <v>35</v>
      </c>
      <c r="AZ244" s="372">
        <f t="shared" si="165"/>
        <v>0</v>
      </c>
      <c r="BA244" s="319" t="s">
        <v>40</v>
      </c>
      <c r="BB244" s="127">
        <f>IF($AG$2&gt;0,"限度超過",IF($A$176=$L$176,"限度超過",AR244+AW244))</f>
        <v>0</v>
      </c>
      <c r="BC244" s="318"/>
      <c r="BD244" s="448" t="s">
        <v>35</v>
      </c>
      <c r="BE244" s="81">
        <f t="shared" si="166"/>
        <v>0</v>
      </c>
      <c r="BF244" s="82" t="s">
        <v>40</v>
      </c>
      <c r="BG244" s="29">
        <f>BG234</f>
        <v>0</v>
      </c>
      <c r="BH244" s="12"/>
      <c r="BI244" s="30" t="s">
        <v>35</v>
      </c>
      <c r="BJ244" s="29">
        <f t="shared" si="167"/>
        <v>0</v>
      </c>
      <c r="BK244" s="30" t="s">
        <v>40</v>
      </c>
      <c r="BL244" s="29">
        <f>IF($A$176=$L$176,"限度超過",IF(BG244=0,0,BG244/$S$94))</f>
        <v>0</v>
      </c>
      <c r="BM244" s="12"/>
      <c r="BN244" s="30" t="s">
        <v>35</v>
      </c>
      <c r="BO244" s="29">
        <f t="shared" si="168"/>
        <v>0</v>
      </c>
      <c r="BP244" s="30" t="s">
        <v>40</v>
      </c>
      <c r="BQ244" s="29">
        <f>IF($A$176=$L$176,"限度超過",IF($S$94&lt;=5,0,BL244))</f>
        <v>0</v>
      </c>
      <c r="BR244" s="446"/>
      <c r="BS244" s="12"/>
      <c r="BT244" s="12"/>
      <c r="BU244" s="12"/>
      <c r="BV244" s="12"/>
      <c r="BW244" s="12"/>
      <c r="BX244" s="32" t="s">
        <v>17</v>
      </c>
      <c r="BY244" s="44">
        <v>0</v>
      </c>
      <c r="BZ244" s="45">
        <f>$CF$185+$CF$186</f>
        <v>700</v>
      </c>
      <c r="CA244" s="45">
        <f>$CG$185+$CG$186</f>
        <v>500</v>
      </c>
      <c r="CB244" s="45">
        <f>$CH$185+$CH$186</f>
        <v>200</v>
      </c>
      <c r="CC244" s="576"/>
      <c r="CD244" s="4"/>
      <c r="CE244" s="4"/>
      <c r="CF244" s="4"/>
      <c r="CG244" s="4"/>
      <c r="CH244" s="4"/>
      <c r="CI244" s="13"/>
    </row>
    <row r="245" spans="1:87" ht="18" customHeight="1">
      <c r="A245" s="1378"/>
      <c r="B245" s="1556"/>
      <c r="C245" s="1382"/>
      <c r="D245" s="1010"/>
      <c r="E245" s="1389"/>
      <c r="F245" s="1395"/>
      <c r="G245" s="1010"/>
      <c r="H245" s="619">
        <v>100</v>
      </c>
      <c r="I245" s="1385"/>
      <c r="J245" s="1010"/>
      <c r="K245" s="55">
        <v>12</v>
      </c>
      <c r="L245" s="12" t="s">
        <v>5</v>
      </c>
      <c r="M245" s="1395"/>
      <c r="N245" s="1527"/>
      <c r="O245" s="636"/>
      <c r="P245" s="1392"/>
      <c r="Q245" s="1392"/>
      <c r="R245" s="1391"/>
      <c r="S245" s="1520"/>
      <c r="T245" s="72" t="s">
        <v>29</v>
      </c>
      <c r="U245" s="105">
        <f>U243+U244</f>
        <v>0</v>
      </c>
      <c r="V245" s="88" t="s">
        <v>6</v>
      </c>
      <c r="W245" s="30" t="s">
        <v>36</v>
      </c>
      <c r="X245" s="29">
        <f t="shared" si="164"/>
        <v>0</v>
      </c>
      <c r="Y245" s="30" t="s">
        <v>41</v>
      </c>
      <c r="Z245" s="31">
        <f>IF($AH$13&gt;0,0,BB245)</f>
        <v>0</v>
      </c>
      <c r="AB245" s="4"/>
      <c r="AC245" s="489"/>
      <c r="AD245" s="4"/>
      <c r="AE245" s="74"/>
      <c r="AF245" s="1424"/>
      <c r="AG245" s="4"/>
      <c r="AH245" s="4"/>
      <c r="AI245" s="174"/>
      <c r="AJ245" s="174"/>
      <c r="AK245" s="174"/>
      <c r="AL245" s="174"/>
      <c r="AM245" s="174"/>
      <c r="AN245" s="174"/>
      <c r="AO245" s="126" t="s">
        <v>36</v>
      </c>
      <c r="AP245" s="344">
        <f>ROUND(AP68*AQ242,0)</f>
        <v>0</v>
      </c>
      <c r="AQ245" s="351" t="s">
        <v>41</v>
      </c>
      <c r="AR245" s="345">
        <f>ROUND(AR68*AQ242,0)</f>
        <v>0</v>
      </c>
      <c r="AS245" s="350"/>
      <c r="AT245" s="126" t="s">
        <v>36</v>
      </c>
      <c r="AU245" s="344">
        <f>IF(AV242=0,0,IF(AV242&gt;=8,1,IF(AV242&lt;=-8,-1,0)))</f>
        <v>0</v>
      </c>
      <c r="AV245" s="351" t="s">
        <v>41</v>
      </c>
      <c r="AW245" s="345">
        <f>IF(AV242=0,0,IF(AV242&gt;=2,1,IF(AV242&lt;=-2,-1,0)))</f>
        <v>0</v>
      </c>
      <c r="AX245" s="318"/>
      <c r="AY245" s="262" t="s">
        <v>36</v>
      </c>
      <c r="AZ245" s="372">
        <f t="shared" si="165"/>
        <v>0</v>
      </c>
      <c r="BA245" s="319" t="s">
        <v>41</v>
      </c>
      <c r="BB245" s="127">
        <f>IF($AG$2&gt;0,"限度超過",IF($A$176=$L$176,"限度超過",AR245+AW245))</f>
        <v>0</v>
      </c>
      <c r="BC245" s="318"/>
      <c r="BD245" s="448" t="s">
        <v>36</v>
      </c>
      <c r="BE245" s="81">
        <f t="shared" si="166"/>
        <v>0</v>
      </c>
      <c r="BF245" s="82" t="s">
        <v>41</v>
      </c>
      <c r="BG245" s="29">
        <f>BG235</f>
        <v>0</v>
      </c>
      <c r="BH245" s="12"/>
      <c r="BI245" s="30" t="s">
        <v>36</v>
      </c>
      <c r="BJ245" s="29">
        <f t="shared" si="167"/>
        <v>0</v>
      </c>
      <c r="BK245" s="30" t="s">
        <v>41</v>
      </c>
      <c r="BL245" s="29">
        <f>IF($A$176=$L$176,"限度超過",IF(BG245=0,0,BG245/$S$94))</f>
        <v>0</v>
      </c>
      <c r="BM245" s="12"/>
      <c r="BN245" s="30" t="s">
        <v>36</v>
      </c>
      <c r="BO245" s="29">
        <f t="shared" si="168"/>
        <v>0</v>
      </c>
      <c r="BP245" s="30" t="s">
        <v>41</v>
      </c>
      <c r="BQ245" s="29">
        <f>IF($A$176=$L$176,"限度超過",IF($S$94&lt;=5,0,BL245))</f>
        <v>0</v>
      </c>
      <c r="BR245" s="446"/>
      <c r="BS245" s="12"/>
      <c r="BT245" s="12"/>
      <c r="BU245" s="12"/>
      <c r="BV245" s="12"/>
      <c r="BW245" s="12"/>
      <c r="BX245" s="32" t="s">
        <v>8</v>
      </c>
      <c r="BY245" s="45">
        <f>K247</f>
        <v>0</v>
      </c>
      <c r="BZ245" s="45">
        <f t="shared" ref="BZ245:BZ247" si="169">BY245</f>
        <v>0</v>
      </c>
      <c r="CA245" s="45">
        <f t="shared" ref="CA245:CA247" si="170">BZ245</f>
        <v>0</v>
      </c>
      <c r="CB245" s="45">
        <f t="shared" ref="CB245:CB247" si="171">CA245</f>
        <v>0</v>
      </c>
      <c r="CC245" s="576">
        <f>CB245</f>
        <v>0</v>
      </c>
      <c r="CD245" s="4"/>
      <c r="CE245" s="4"/>
      <c r="CF245" s="4"/>
      <c r="CG245" s="4"/>
      <c r="CH245" s="4"/>
      <c r="CI245" s="13"/>
    </row>
    <row r="246" spans="1:87" ht="18" customHeight="1">
      <c r="A246" s="165"/>
      <c r="B246" s="12"/>
      <c r="C246" s="620"/>
      <c r="D246" s="12"/>
      <c r="E246" s="12"/>
      <c r="F246" s="12"/>
      <c r="G246" s="12"/>
      <c r="H246" s="91"/>
      <c r="I246" s="75"/>
      <c r="J246" s="75"/>
      <c r="K246" s="92"/>
      <c r="L246" s="75"/>
      <c r="M246" s="93"/>
      <c r="N246" s="578">
        <f>IF(入力画面!E135=1,"未就学児",0)</f>
        <v>0</v>
      </c>
      <c r="O246" s="42">
        <f>IF(H247=0,0,$D$94)</f>
        <v>0</v>
      </c>
      <c r="P246" s="463">
        <f>IF(O247=0,0,"軽減額")</f>
        <v>0</v>
      </c>
      <c r="Q246" s="12"/>
      <c r="R246" s="95"/>
      <c r="S246" s="641"/>
      <c r="T246" s="96" t="s">
        <v>31</v>
      </c>
      <c r="U246" s="105">
        <f>ROUNDDOWN(U245,-2)</f>
        <v>0</v>
      </c>
      <c r="V246" s="88" t="s">
        <v>6</v>
      </c>
      <c r="W246" s="30" t="s">
        <v>43</v>
      </c>
      <c r="X246" s="29">
        <f t="shared" si="164"/>
        <v>0</v>
      </c>
      <c r="Y246" s="30" t="s">
        <v>42</v>
      </c>
      <c r="Z246" s="31">
        <f>IF($AH$13&gt;0,0,BB246)</f>
        <v>0</v>
      </c>
      <c r="AB246" s="4"/>
      <c r="AC246" s="489"/>
      <c r="AD246" s="4"/>
      <c r="AE246" s="497" t="str">
        <f>IF($AH$13&gt;0,"－",IF($AG$2&gt;0,"限度超過",IF(U247=Z247,"OK","ｱﾝﾏｯﾁ")))</f>
        <v>OK</v>
      </c>
      <c r="AF246" s="496"/>
      <c r="AG246" s="4"/>
      <c r="AI246" s="174"/>
      <c r="AJ246" s="174"/>
      <c r="AK246" s="174"/>
      <c r="AL246" s="174"/>
      <c r="AM246" s="174"/>
      <c r="AN246" s="174"/>
      <c r="AO246" s="126" t="s">
        <v>43</v>
      </c>
      <c r="AP246" s="344">
        <f>ROUND(AP69*AQ242,0)</f>
        <v>0</v>
      </c>
      <c r="AQ246" s="351" t="s">
        <v>42</v>
      </c>
      <c r="AR246" s="345">
        <f>ROUND(AR69*AQ242,0)</f>
        <v>0</v>
      </c>
      <c r="AS246" s="350"/>
      <c r="AT246" s="126" t="s">
        <v>43</v>
      </c>
      <c r="AU246" s="344">
        <f>IF(AV242=0,0,IF(AV242&gt;=7,1,IF(AV242&lt;=-7,-1,0)))</f>
        <v>0</v>
      </c>
      <c r="AV246" s="351" t="s">
        <v>42</v>
      </c>
      <c r="AW246" s="345">
        <f>IF(AV242=0,0,IF(AV242&gt;=1,1,IF(AV242&lt;=-1,-1,0)))</f>
        <v>0</v>
      </c>
      <c r="AX246" s="318"/>
      <c r="AY246" s="262" t="s">
        <v>43</v>
      </c>
      <c r="AZ246" s="372">
        <f t="shared" si="165"/>
        <v>0</v>
      </c>
      <c r="BA246" s="319" t="s">
        <v>42</v>
      </c>
      <c r="BB246" s="127">
        <f>IF($AG$2&gt;0,"限度超過",IF($A$176=$L$176,"限度超過",AR246+AW246))</f>
        <v>0</v>
      </c>
      <c r="BC246" s="318"/>
      <c r="BD246" s="448" t="s">
        <v>43</v>
      </c>
      <c r="BE246" s="81">
        <f t="shared" si="166"/>
        <v>0</v>
      </c>
      <c r="BF246" s="82" t="s">
        <v>42</v>
      </c>
      <c r="BG246" s="29">
        <f>BG236</f>
        <v>0</v>
      </c>
      <c r="BH246" s="12"/>
      <c r="BI246" s="30" t="s">
        <v>43</v>
      </c>
      <c r="BJ246" s="29">
        <f t="shared" si="167"/>
        <v>0</v>
      </c>
      <c r="BK246" s="30" t="s">
        <v>42</v>
      </c>
      <c r="BL246" s="29">
        <f>IF($A$176=$L$176,"限度超過",IF(BG246=0,0,BG246/$S$94))</f>
        <v>0</v>
      </c>
      <c r="BM246" s="12"/>
      <c r="BN246" s="30" t="s">
        <v>43</v>
      </c>
      <c r="BO246" s="29">
        <f t="shared" si="168"/>
        <v>0</v>
      </c>
      <c r="BP246" s="30" t="s">
        <v>42</v>
      </c>
      <c r="BQ246" s="29">
        <f>IF($A$176=$L$176,"限度超過",IF($S$94&lt;=5,0,BL246))</f>
        <v>0</v>
      </c>
      <c r="BR246" s="446"/>
      <c r="BS246" s="12"/>
      <c r="BT246" s="12"/>
      <c r="BU246" s="12"/>
      <c r="BV246" s="12"/>
      <c r="BW246" s="12"/>
      <c r="BX246" s="32" t="s">
        <v>25</v>
      </c>
      <c r="BY246" s="45">
        <f>K248</f>
        <v>0</v>
      </c>
      <c r="BZ246" s="45">
        <f t="shared" si="169"/>
        <v>0</v>
      </c>
      <c r="CA246" s="45">
        <f t="shared" si="170"/>
        <v>0</v>
      </c>
      <c r="CB246" s="45">
        <f t="shared" si="171"/>
        <v>0</v>
      </c>
      <c r="CC246" s="576">
        <f>CB246</f>
        <v>0</v>
      </c>
      <c r="CD246" s="4"/>
      <c r="CE246" s="4"/>
      <c r="CF246" s="4"/>
      <c r="CG246" s="4"/>
      <c r="CH246" s="4"/>
      <c r="CI246" s="13"/>
    </row>
    <row r="247" spans="1:87" ht="18" customHeight="1">
      <c r="A247" s="1378" t="s">
        <v>10</v>
      </c>
      <c r="B247" s="12"/>
      <c r="C247" s="12"/>
      <c r="D247" s="1379" t="s">
        <v>7</v>
      </c>
      <c r="E247" s="1389">
        <f>IF(H247&gt;0,$CE$185+$CE$186,0)</f>
        <v>0</v>
      </c>
      <c r="F247" s="97"/>
      <c r="G247" s="1010" t="s">
        <v>59</v>
      </c>
      <c r="H247" s="1390">
        <f>IF(B242=0,0,SUBTOTAL(3,B242))</f>
        <v>0</v>
      </c>
      <c r="I247" s="1385" t="s">
        <v>22</v>
      </c>
      <c r="J247" s="1010" t="s">
        <v>59</v>
      </c>
      <c r="K247" s="51">
        <f>IF(H247&gt;0,K244,0)</f>
        <v>0</v>
      </c>
      <c r="L247" s="52" t="s">
        <v>5</v>
      </c>
      <c r="M247" s="1527" t="s">
        <v>122</v>
      </c>
      <c r="N247" s="1548">
        <f>IF(O247=0,0,"―")</f>
        <v>0</v>
      </c>
      <c r="O247" s="1525">
        <f>IF(H247=0,0,IF(BY249=0,IF($D$94=7,BZ248,IF($D$94=5,CA248,IF($D$94=2,CB248,CC248))),IF($D$94=7,BZ248+BZ249,IF($D$94=5,CA248+CA249,IF($D$94=2,CB248+CB249,CC248+CC249)))))</f>
        <v>0</v>
      </c>
      <c r="P247" s="1525"/>
      <c r="Q247" s="1392" t="s">
        <v>14</v>
      </c>
      <c r="R247" s="1391">
        <f>IF(H247&gt;0,IF(K244=0,0,ROUNDDOWN(((E247*H247)*K247/K248)-O247,0)),0)</f>
        <v>0</v>
      </c>
      <c r="S247" s="1520" t="s">
        <v>6</v>
      </c>
      <c r="T247" s="1321" t="s">
        <v>32</v>
      </c>
      <c r="U247" s="1586">
        <f>IF($L$264=$A$264,"限度超過!",U245)</f>
        <v>0</v>
      </c>
      <c r="V247" s="1509" t="s">
        <v>6</v>
      </c>
      <c r="W247" s="30" t="s">
        <v>37</v>
      </c>
      <c r="X247" s="29">
        <f t="shared" si="164"/>
        <v>0</v>
      </c>
      <c r="Y247" s="1313" t="s">
        <v>44</v>
      </c>
      <c r="Z247" s="1420">
        <f>IF($AH$13&gt;0,0,BB247)</f>
        <v>0</v>
      </c>
      <c r="AB247" s="4"/>
      <c r="AC247" s="489"/>
      <c r="AD247" s="4"/>
      <c r="AE247" s="497" t="str">
        <f>IF($AG$2&gt;0,"限度超過",IF(X243+X244+X245+X246+X247+X248+Z243+Z244+Z245+Z246=Z247,"OK","エラー"))</f>
        <v>OK</v>
      </c>
      <c r="AF247" s="1508">
        <f>IF(H247&gt;0,IF(K244=0,0,ROUNDDOWN((E247*H247)-O247,0)),0)</f>
        <v>0</v>
      </c>
      <c r="AG247" s="4"/>
      <c r="AI247" s="174"/>
      <c r="AJ247" s="174"/>
      <c r="AK247" s="174"/>
      <c r="AL247" s="174"/>
      <c r="AM247" s="174"/>
      <c r="AN247" s="174"/>
      <c r="AO247" s="126" t="s">
        <v>37</v>
      </c>
      <c r="AP247" s="344">
        <f>ROUND(AP70*AQ242,0)</f>
        <v>0</v>
      </c>
      <c r="AQ247" s="352" t="s">
        <v>44</v>
      </c>
      <c r="AR247" s="346">
        <f>AP243+AP244+AP245+AP246+AP247+AP248+AR243+AR244+AR245+AR246</f>
        <v>0</v>
      </c>
      <c r="AS247" s="350"/>
      <c r="AT247" s="126" t="s">
        <v>37</v>
      </c>
      <c r="AU247" s="344">
        <f>IF(AV242=0,0,IF(AV242&gt;=6,1,IF(AV242&lt;=-6,-1,0)))</f>
        <v>0</v>
      </c>
      <c r="AV247" s="352" t="s">
        <v>44</v>
      </c>
      <c r="AW247" s="353">
        <f>AU243+AU244+AU245+AU246+AU247+AU248+AW243+AW244+AW245+AW246</f>
        <v>0</v>
      </c>
      <c r="AX247" s="318"/>
      <c r="AY247" s="262" t="s">
        <v>37</v>
      </c>
      <c r="AZ247" s="372">
        <f t="shared" si="165"/>
        <v>0</v>
      </c>
      <c r="BA247" s="320" t="s">
        <v>44</v>
      </c>
      <c r="BB247" s="417">
        <f>IF($AG$2&gt;0,"限度超過",AZ243+AZ244+AZ245+AZ246+AZ247+AZ248+BB243+BB244+BB245+BB246)</f>
        <v>0</v>
      </c>
      <c r="BC247" s="318"/>
      <c r="BD247" s="448" t="s">
        <v>37</v>
      </c>
      <c r="BE247" s="81">
        <f t="shared" si="166"/>
        <v>0</v>
      </c>
      <c r="BF247" s="440" t="s">
        <v>44</v>
      </c>
      <c r="BG247" s="29">
        <f>IF($A$176=$L$176,"限度超過",BE243+BE244+BE245+BE246+BE247+BE248+BG243+BG244+BG245+BG246)</f>
        <v>0</v>
      </c>
      <c r="BH247" s="12"/>
      <c r="BI247" s="30" t="s">
        <v>37</v>
      </c>
      <c r="BJ247" s="29">
        <f t="shared" si="167"/>
        <v>0</v>
      </c>
      <c r="BK247" s="98" t="s">
        <v>44</v>
      </c>
      <c r="BL247" s="29">
        <f>IF($A$176=$L$176,"限度超過",BJ243+BJ244+BJ245+BJ246+BJ247+BJ248+BL243+BL244+BL245+BL246)</f>
        <v>0</v>
      </c>
      <c r="BM247" s="12"/>
      <c r="BN247" s="30" t="s">
        <v>37</v>
      </c>
      <c r="BO247" s="29">
        <f t="shared" si="168"/>
        <v>0</v>
      </c>
      <c r="BP247" s="98" t="s">
        <v>44</v>
      </c>
      <c r="BQ247" s="29">
        <f>IF($A$176=$L$176,"限度超過",BO243+BO244+BO245+BO246+BO247+BO248+BQ243+BQ244+BQ245+BQ246)</f>
        <v>0</v>
      </c>
      <c r="BR247" s="446"/>
      <c r="BS247" s="12"/>
      <c r="BT247" s="12"/>
      <c r="BU247" s="12"/>
      <c r="BV247" s="12"/>
      <c r="BW247" s="12"/>
      <c r="BX247" s="32" t="s">
        <v>26</v>
      </c>
      <c r="BY247" s="26">
        <f>H247</f>
        <v>0</v>
      </c>
      <c r="BZ247" s="99">
        <f t="shared" si="169"/>
        <v>0</v>
      </c>
      <c r="CA247" s="99">
        <f t="shared" si="170"/>
        <v>0</v>
      </c>
      <c r="CB247" s="99">
        <f t="shared" si="171"/>
        <v>0</v>
      </c>
      <c r="CC247" s="576">
        <f>CB247</f>
        <v>0</v>
      </c>
      <c r="CD247" s="4"/>
      <c r="CE247" s="4"/>
      <c r="CF247" s="4"/>
      <c r="CG247" s="4"/>
      <c r="CH247" s="4"/>
      <c r="CI247" s="13"/>
    </row>
    <row r="248" spans="1:87" ht="18" customHeight="1">
      <c r="A248" s="1378"/>
      <c r="B248" s="12"/>
      <c r="C248" s="12"/>
      <c r="D248" s="1379"/>
      <c r="E248" s="1389"/>
      <c r="F248" s="12"/>
      <c r="G248" s="1010"/>
      <c r="H248" s="1390"/>
      <c r="I248" s="1385"/>
      <c r="J248" s="1010"/>
      <c r="K248" s="180">
        <f>IF(H247&gt;0,K245,0)</f>
        <v>0</v>
      </c>
      <c r="L248" s="12" t="s">
        <v>5</v>
      </c>
      <c r="M248" s="1527"/>
      <c r="N248" s="1548"/>
      <c r="O248" s="1525"/>
      <c r="P248" s="1525"/>
      <c r="Q248" s="1392"/>
      <c r="R248" s="1391"/>
      <c r="S248" s="1520"/>
      <c r="T248" s="1582"/>
      <c r="U248" s="1587"/>
      <c r="V248" s="1510"/>
      <c r="W248" s="30" t="s">
        <v>38</v>
      </c>
      <c r="X248" s="29">
        <f t="shared" si="164"/>
        <v>0</v>
      </c>
      <c r="Y248" s="1422"/>
      <c r="Z248" s="1421"/>
      <c r="AB248" s="4"/>
      <c r="AC248" s="489"/>
      <c r="AD248" s="4"/>
      <c r="AE248" s="74"/>
      <c r="AF248" s="1559"/>
      <c r="AG248" s="4"/>
      <c r="AH248" s="4"/>
      <c r="AI248" s="174"/>
      <c r="AJ248" s="174"/>
      <c r="AK248" s="174"/>
      <c r="AL248" s="174"/>
      <c r="AM248" s="174"/>
      <c r="AN248" s="174"/>
      <c r="AO248" s="126" t="s">
        <v>38</v>
      </c>
      <c r="AP248" s="344">
        <f>ROUND(AP71*AQ242,0)</f>
        <v>0</v>
      </c>
      <c r="AQ248" s="351" t="s">
        <v>75</v>
      </c>
      <c r="AR248" s="330">
        <f>IF($AG$2&gt;0,"限度超過",U247)</f>
        <v>0</v>
      </c>
      <c r="AS248" s="347"/>
      <c r="AT248" s="126" t="s">
        <v>38</v>
      </c>
      <c r="AU248" s="344">
        <f>IF(AV242=0,0,IF(AV242&gt;=5,1,IF(AV242&lt;=-5,-1,0)))</f>
        <v>0</v>
      </c>
      <c r="AV248" s="351"/>
      <c r="AW248" s="354" t="str">
        <f>IF(AU243+AU244+AU245+AU246+AU247+AU248+AW243+AW244+AW245+AW246=AV242,"計算ＯＫ","エラー発生")</f>
        <v>計算ＯＫ</v>
      </c>
      <c r="AX248" s="318"/>
      <c r="AY248" s="262" t="s">
        <v>38</v>
      </c>
      <c r="AZ248" s="372">
        <f t="shared" si="165"/>
        <v>0</v>
      </c>
      <c r="BA248" s="319"/>
      <c r="BB248" s="418">
        <f>IF($AG$2&gt;0,"限度超過",IF($A$264=$L$264,"限度超過",$U$247))</f>
        <v>0</v>
      </c>
      <c r="BC248" s="318"/>
      <c r="BD248" s="448" t="s">
        <v>38</v>
      </c>
      <c r="BE248" s="81">
        <f t="shared" si="166"/>
        <v>0</v>
      </c>
      <c r="BF248" s="82"/>
      <c r="BG248" s="100"/>
      <c r="BH248" s="12"/>
      <c r="BI248" s="30" t="s">
        <v>38</v>
      </c>
      <c r="BJ248" s="29">
        <f t="shared" si="167"/>
        <v>0</v>
      </c>
      <c r="BK248" s="30"/>
      <c r="BL248" s="100"/>
      <c r="BM248" s="12"/>
      <c r="BN248" s="30" t="s">
        <v>38</v>
      </c>
      <c r="BO248" s="29">
        <f t="shared" si="168"/>
        <v>0</v>
      </c>
      <c r="BP248" s="30"/>
      <c r="BQ248" s="100"/>
      <c r="BR248" s="446"/>
      <c r="BS248" s="12"/>
      <c r="BT248" s="12"/>
      <c r="BU248" s="12"/>
      <c r="BV248" s="12"/>
      <c r="BW248" s="12"/>
      <c r="BX248" s="67" t="s">
        <v>27</v>
      </c>
      <c r="BY248" s="45">
        <f>IF(BY247&gt;0,ROUNDDOWN(BY244*BY247*BY245/BY246,0),0)</f>
        <v>0</v>
      </c>
      <c r="BZ248" s="45">
        <f>IF(BZ247&gt;0,ROUNDDOWN(BZ244*BZ247*BZ245/BZ246,0),0)</f>
        <v>0</v>
      </c>
      <c r="CA248" s="45">
        <f>IF(CA247&gt;0,ROUNDDOWN(CA244*CA247*CA245/CA246,0),0)</f>
        <v>0</v>
      </c>
      <c r="CB248" s="45">
        <f>IF(CB247&gt;0,ROUNDDOWN(CB244*CB247*CB245/CB246,0),0)</f>
        <v>0</v>
      </c>
      <c r="CC248" s="576">
        <v>0</v>
      </c>
      <c r="CD248" s="4"/>
      <c r="CE248" s="4"/>
      <c r="CF248" s="4"/>
      <c r="CG248" s="4"/>
      <c r="CH248" s="4"/>
      <c r="CI248" s="13"/>
    </row>
    <row r="249" spans="1:87" ht="18" customHeight="1">
      <c r="A249" s="626"/>
      <c r="B249" s="75" t="s">
        <v>118</v>
      </c>
      <c r="C249" s="12"/>
      <c r="D249" s="629"/>
      <c r="E249" s="630"/>
      <c r="F249" s="12"/>
      <c r="G249" s="620"/>
      <c r="H249" s="632"/>
      <c r="I249" s="633"/>
      <c r="J249" s="620"/>
      <c r="K249" s="180"/>
      <c r="L249" s="12"/>
      <c r="M249" s="636"/>
      <c r="N249" s="636"/>
      <c r="O249" s="631"/>
      <c r="P249" s="631"/>
      <c r="Q249" s="628"/>
      <c r="R249" s="637"/>
      <c r="S249" s="641"/>
      <c r="T249" s="620"/>
      <c r="U249" s="182"/>
      <c r="V249" s="620"/>
      <c r="W249" s="4"/>
      <c r="X249" s="26"/>
      <c r="Y249" s="170"/>
      <c r="Z249" s="185"/>
      <c r="AA249" s="643"/>
      <c r="AB249" s="633"/>
      <c r="AC249" s="224"/>
      <c r="AD249" s="633"/>
      <c r="AE249" s="633"/>
      <c r="AF249" s="234"/>
      <c r="AG249" s="633"/>
      <c r="AH249" s="225"/>
      <c r="AI249" s="199"/>
      <c r="AJ249" s="199"/>
      <c r="AK249" s="199"/>
      <c r="AL249" s="199"/>
      <c r="AM249" s="199"/>
      <c r="AN249" s="174"/>
      <c r="AO249" s="348"/>
      <c r="AP249" s="348"/>
      <c r="AQ249" s="349"/>
      <c r="AR249" s="349"/>
      <c r="AS249" s="347"/>
      <c r="AT249" s="347"/>
      <c r="AU249" s="347"/>
      <c r="AV249" s="347"/>
      <c r="AW249" s="347"/>
      <c r="AX249" s="318"/>
      <c r="AY249" s="419"/>
      <c r="AZ249" s="348"/>
      <c r="BA249" s="349"/>
      <c r="BB249" s="464" t="str">
        <f>IF(BB247=BB248,"OK","エラー")</f>
        <v>OK</v>
      </c>
      <c r="BC249" s="318"/>
      <c r="BD249" s="449"/>
      <c r="BF249" s="4" t="s">
        <v>206</v>
      </c>
      <c r="BH249" s="12"/>
      <c r="BM249" s="12"/>
      <c r="BR249" s="446"/>
      <c r="BS249" s="12"/>
      <c r="BT249" s="12"/>
      <c r="BU249" s="12"/>
      <c r="BV249" s="12"/>
      <c r="BW249" s="12"/>
      <c r="BX249" s="32" t="s">
        <v>340</v>
      </c>
      <c r="BY249" s="576">
        <f>IF(入力画面!E62=1,1,0)</f>
        <v>0</v>
      </c>
      <c r="BZ249" s="576">
        <f>IF($BY$249=1,ROUNDDOWN($CF$190*BZ245/BZ246,0),0)</f>
        <v>0</v>
      </c>
      <c r="CA249" s="576">
        <f>IF($BY$249=1,ROUNDDOWN($CG$190*CA245/CA246,0),0)</f>
        <v>0</v>
      </c>
      <c r="CB249" s="576">
        <f>IF($BY$249=1,ROUNDDOWN($CH$190*CB245/CB246,0),0)</f>
        <v>0</v>
      </c>
      <c r="CC249" s="576">
        <f>IF($BY$249=1,ROUNDDOWN($CE$190*CC245/CC246,0),0)</f>
        <v>0</v>
      </c>
      <c r="CD249" s="4"/>
      <c r="CE249" s="4"/>
      <c r="CF249" s="4"/>
      <c r="CG249" s="4"/>
      <c r="CH249" s="4"/>
      <c r="CI249" s="13"/>
    </row>
    <row r="250" spans="1:87" ht="18" customHeight="1">
      <c r="A250" s="58" t="s">
        <v>1</v>
      </c>
      <c r="B250" s="52"/>
      <c r="C250" s="187">
        <f>IF(H247&gt;0,$X$190,0)</f>
        <v>0</v>
      </c>
      <c r="D250" s="201" t="s">
        <v>6</v>
      </c>
      <c r="E250" s="60" t="s">
        <v>59</v>
      </c>
      <c r="F250" s="1377">
        <f>K244</f>
        <v>0</v>
      </c>
      <c r="G250" s="1377"/>
      <c r="H250" s="214" t="s">
        <v>5</v>
      </c>
      <c r="I250" s="1388" t="s">
        <v>14</v>
      </c>
      <c r="J250" s="1388"/>
      <c r="K250" s="1377">
        <f>C250*F250</f>
        <v>0</v>
      </c>
      <c r="L250" s="1377"/>
      <c r="M250" s="202" t="s">
        <v>6</v>
      </c>
      <c r="N250" s="202"/>
      <c r="O250" s="203"/>
      <c r="P250" s="203"/>
      <c r="Q250" s="63"/>
      <c r="R250" s="204"/>
      <c r="S250" s="59"/>
      <c r="T250" s="622"/>
      <c r="U250" s="205"/>
      <c r="V250" s="622"/>
      <c r="W250" s="186"/>
      <c r="X250" s="187"/>
      <c r="Y250" s="206"/>
      <c r="Z250" s="642"/>
      <c r="AB250" s="4"/>
      <c r="AC250" s="489"/>
      <c r="AD250" s="4"/>
      <c r="AE250" s="74"/>
      <c r="AF250" s="235"/>
      <c r="AG250" s="4"/>
      <c r="AH250" s="4"/>
      <c r="AI250" s="174"/>
      <c r="AJ250" s="174"/>
      <c r="AK250" s="174"/>
      <c r="AL250" s="174"/>
      <c r="AM250" s="174"/>
      <c r="AN250" s="174"/>
      <c r="AO250" s="1407" t="s">
        <v>423</v>
      </c>
      <c r="AP250" s="1407"/>
      <c r="AQ250" s="1407"/>
      <c r="AR250" s="1407"/>
      <c r="AS250" s="347"/>
      <c r="AT250" s="1406" t="s">
        <v>420</v>
      </c>
      <c r="AU250" s="1406"/>
      <c r="AV250" s="347"/>
      <c r="AW250" s="347"/>
      <c r="AX250" s="347"/>
      <c r="AY250" s="1405" t="s">
        <v>420</v>
      </c>
      <c r="AZ250" s="1406"/>
      <c r="BA250" s="347"/>
      <c r="BB250" s="422"/>
      <c r="BC250" s="347"/>
      <c r="BD250" s="1453" t="s">
        <v>231</v>
      </c>
      <c r="BE250" s="1430"/>
      <c r="BF250" s="4" t="s">
        <v>258</v>
      </c>
      <c r="BH250" s="12"/>
      <c r="BI250" s="1430" t="s">
        <v>231</v>
      </c>
      <c r="BJ250" s="1430"/>
      <c r="BM250" s="12"/>
      <c r="BN250" s="1430" t="s">
        <v>231</v>
      </c>
      <c r="BO250" s="1430"/>
      <c r="BR250" s="446"/>
      <c r="BS250" s="12"/>
      <c r="BT250" s="12"/>
      <c r="BU250" s="12"/>
      <c r="BV250" s="12"/>
      <c r="BW250" s="12"/>
      <c r="BX250" s="4"/>
      <c r="BY250" s="26"/>
      <c r="BZ250" s="26"/>
      <c r="CA250" s="26"/>
      <c r="CB250" s="26"/>
      <c r="CC250" s="4"/>
      <c r="CD250" s="4"/>
      <c r="CE250" s="4"/>
      <c r="CF250" s="4"/>
      <c r="CG250" s="4"/>
      <c r="CH250" s="4"/>
      <c r="CI250" s="13"/>
    </row>
    <row r="251" spans="1:87" ht="18" customHeight="1">
      <c r="D251" s="101"/>
      <c r="E251" s="640"/>
      <c r="G251" s="9"/>
      <c r="H251" s="102"/>
      <c r="I251" s="643"/>
      <c r="J251" s="9"/>
      <c r="K251" s="18"/>
      <c r="M251" s="103"/>
      <c r="P251" s="103"/>
      <c r="Q251" s="640"/>
      <c r="R251" s="104"/>
      <c r="S251" s="68"/>
      <c r="T251" s="68"/>
      <c r="U251" s="68"/>
      <c r="V251" s="18"/>
      <c r="AA251" s="650"/>
      <c r="AB251" s="650"/>
      <c r="AC251" s="490"/>
      <c r="AD251" s="650"/>
      <c r="AE251" s="225"/>
      <c r="AF251" s="231"/>
      <c r="AG251" s="650"/>
      <c r="AH251" s="650"/>
      <c r="AI251" s="172"/>
      <c r="AJ251" s="172"/>
      <c r="AK251" s="172"/>
      <c r="AL251" s="172"/>
      <c r="AM251" s="172"/>
      <c r="AN251" s="174"/>
      <c r="AO251" s="367" t="s">
        <v>217</v>
      </c>
      <c r="AP251" s="1401"/>
      <c r="AQ251" s="1401"/>
      <c r="AR251" s="1401"/>
      <c r="AS251" s="369"/>
      <c r="AT251" s="1413" t="s">
        <v>218</v>
      </c>
      <c r="AU251" s="1413"/>
      <c r="AV251" s="1413"/>
      <c r="AW251" s="1413"/>
      <c r="AX251" s="318"/>
      <c r="AY251" s="416" t="s">
        <v>224</v>
      </c>
      <c r="AZ251" s="1448" t="s">
        <v>223</v>
      </c>
      <c r="BA251" s="1448"/>
      <c r="BB251" s="1449"/>
      <c r="BC251" s="318"/>
      <c r="BD251" s="1426" t="s">
        <v>261</v>
      </c>
      <c r="BE251" s="1427"/>
      <c r="BF251" s="1427"/>
      <c r="BG251" s="1427"/>
      <c r="BH251" s="12"/>
      <c r="BI251" s="437" t="s">
        <v>262</v>
      </c>
      <c r="BJ251" s="1438" t="s">
        <v>260</v>
      </c>
      <c r="BK251" s="1438"/>
      <c r="BL251" s="1438"/>
      <c r="BM251" s="12"/>
      <c r="BN251" s="12"/>
      <c r="BO251" s="143" t="s">
        <v>263</v>
      </c>
      <c r="BP251" s="12" t="s">
        <v>88</v>
      </c>
      <c r="BQ251" s="12"/>
      <c r="BR251" s="446"/>
      <c r="BS251" s="12"/>
      <c r="BT251" s="12"/>
      <c r="BU251" s="12"/>
      <c r="BV251" s="12"/>
      <c r="BW251" s="12"/>
      <c r="BX251" s="4"/>
      <c r="BY251" s="4"/>
      <c r="BZ251" s="4"/>
      <c r="CA251" s="4"/>
      <c r="CB251" s="4"/>
      <c r="CC251" s="4"/>
      <c r="CD251" s="4"/>
      <c r="CE251" s="4"/>
      <c r="CF251" s="4"/>
      <c r="CG251" s="4"/>
      <c r="CH251" s="4"/>
      <c r="CI251" s="13"/>
    </row>
    <row r="252" spans="1:87" ht="18" customHeight="1">
      <c r="A252" s="194" t="s">
        <v>49</v>
      </c>
      <c r="B252" s="1396">
        <f>IF(I253=1,B75,0)</f>
        <v>0</v>
      </c>
      <c r="C252" s="1396"/>
      <c r="D252" s="1396"/>
      <c r="E252" s="644" t="s">
        <v>11</v>
      </c>
      <c r="F252" s="1398" t="s">
        <v>57</v>
      </c>
      <c r="G252" s="1398"/>
      <c r="H252" s="1399"/>
      <c r="I252" s="1380">
        <f>IF(I164=1,1,0)</f>
        <v>0</v>
      </c>
      <c r="J252" s="1381"/>
      <c r="K252" s="1515">
        <f>IF(H257=0,0,IF($K$185=0, "加入月が未入力です!！",IF($L$176=$A$176,"限度超過額に達しているため計算不可能!!",IF(U254-U253=U255,"エラー名前を入力されているが加入月未入力!！",IF(H257&gt;K254,"加入月未入力エラー!！",0)))))</f>
        <v>0</v>
      </c>
      <c r="L252" s="1516"/>
      <c r="M252" s="1516"/>
      <c r="N252" s="1516"/>
      <c r="O252" s="1516"/>
      <c r="P252" s="1516"/>
      <c r="Q252" s="1516"/>
      <c r="R252" s="1516"/>
      <c r="S252" s="1517"/>
      <c r="T252" s="623" t="s">
        <v>47</v>
      </c>
      <c r="U252" s="1605">
        <f>IF(U257&gt;0,"子ども・子育て分",0)</f>
        <v>0</v>
      </c>
      <c r="V252" s="1606"/>
      <c r="W252" s="1419" t="s">
        <v>46</v>
      </c>
      <c r="X252" s="1278"/>
      <c r="Y252" s="1278"/>
      <c r="Z252" s="1279"/>
      <c r="AA252" s="26"/>
      <c r="AB252" s="26"/>
      <c r="AC252" s="491"/>
      <c r="AD252" s="26"/>
      <c r="AE252" s="634"/>
      <c r="AF252" s="236" t="s">
        <v>117</v>
      </c>
      <c r="AG252" s="26"/>
      <c r="AH252" s="274">
        <f>IF(K254=0,0,IF(K254&lt;12,1,0))</f>
        <v>0</v>
      </c>
      <c r="AI252" s="173"/>
      <c r="AJ252" s="173"/>
      <c r="AK252" s="173"/>
      <c r="AL252" s="173"/>
      <c r="AM252" s="173"/>
      <c r="AN252" s="366" t="s">
        <v>49</v>
      </c>
      <c r="AO252" s="1319" t="s">
        <v>220</v>
      </c>
      <c r="AP252" s="1402"/>
      <c r="AQ252" s="1403">
        <f>IF(AR80=0,0,ROUNDDOWN(AR258/AR80,8))</f>
        <v>0</v>
      </c>
      <c r="AR252" s="1404"/>
      <c r="AS252" s="370"/>
      <c r="AT252" s="1319" t="s">
        <v>213</v>
      </c>
      <c r="AU252" s="1402"/>
      <c r="AV252" s="1411">
        <f>IF($AG$2&gt;0,0,AR258-AR257)</f>
        <v>0</v>
      </c>
      <c r="AW252" s="1412"/>
      <c r="AX252" s="318"/>
      <c r="AY252" s="1408" t="s">
        <v>46</v>
      </c>
      <c r="AZ252" s="1402"/>
      <c r="BA252" s="1450">
        <f>IF(R254+R257=0,0,IF(K255&gt;K254,"期割がアンマッチ使用禁止↓",0))</f>
        <v>0</v>
      </c>
      <c r="BB252" s="1451"/>
      <c r="BC252" s="318"/>
      <c r="BD252" s="1435" t="s">
        <v>46</v>
      </c>
      <c r="BE252" s="1434"/>
      <c r="BF252" s="1436" t="s">
        <v>87</v>
      </c>
      <c r="BG252" s="1437"/>
      <c r="BH252" s="12"/>
      <c r="BI252" s="1253" t="s">
        <v>89</v>
      </c>
      <c r="BJ252" s="1434"/>
      <c r="BK252" s="438"/>
      <c r="BL252" s="439"/>
      <c r="BM252" s="12"/>
      <c r="BN252" s="1253" t="s">
        <v>46</v>
      </c>
      <c r="BO252" s="1434"/>
      <c r="BP252" s="1431"/>
      <c r="BQ252" s="1433"/>
      <c r="BR252" s="446"/>
      <c r="BS252" s="12"/>
      <c r="BT252" s="12"/>
      <c r="BU252" s="106" t="s">
        <v>56</v>
      </c>
      <c r="BV252" s="32" t="s">
        <v>8</v>
      </c>
      <c r="BW252" s="12"/>
      <c r="BX252" s="4"/>
      <c r="BY252" s="4"/>
      <c r="BZ252" s="4"/>
      <c r="CA252" s="4"/>
      <c r="CB252" s="4"/>
      <c r="CC252" s="4"/>
      <c r="CD252" s="4"/>
      <c r="CE252" s="4"/>
      <c r="CF252" s="4"/>
      <c r="CG252" s="4"/>
      <c r="CH252" s="4"/>
      <c r="CI252" s="13"/>
    </row>
    <row r="253" spans="1:87" ht="18" customHeight="1">
      <c r="A253" s="165"/>
      <c r="B253" s="12"/>
      <c r="C253" s="75" t="s">
        <v>33</v>
      </c>
      <c r="D253" s="12"/>
      <c r="E253" s="12"/>
      <c r="F253" s="1394" t="s">
        <v>433</v>
      </c>
      <c r="G253" s="1394"/>
      <c r="H253" s="1394"/>
      <c r="I253" s="1386">
        <f>IF(I165=1,1,0)</f>
        <v>0</v>
      </c>
      <c r="J253" s="1387"/>
      <c r="K253" s="76" t="s">
        <v>9</v>
      </c>
      <c r="L253" s="12"/>
      <c r="M253" s="1551"/>
      <c r="N253" s="1551"/>
      <c r="O253" s="1551"/>
      <c r="P253" s="1551"/>
      <c r="Q253" s="1551"/>
      <c r="R253" s="1551"/>
      <c r="S253" s="1552"/>
      <c r="T253" s="72" t="s">
        <v>30</v>
      </c>
      <c r="U253" s="105">
        <f>R254+R257</f>
        <v>0</v>
      </c>
      <c r="V253" s="88" t="s">
        <v>6</v>
      </c>
      <c r="W253" s="80" t="s">
        <v>34</v>
      </c>
      <c r="X253" s="29">
        <f t="shared" ref="X253:X258" si="172">IF($AH$13&gt;0,0,AZ253)</f>
        <v>0</v>
      </c>
      <c r="Y253" s="80" t="s">
        <v>39</v>
      </c>
      <c r="Z253" s="31">
        <f>IF($AH$13&gt;0,0,BB253)</f>
        <v>0</v>
      </c>
      <c r="AA253" s="26"/>
      <c r="AB253" s="26"/>
      <c r="AC253" s="491"/>
      <c r="AD253" s="26"/>
      <c r="AE253" s="634"/>
      <c r="AF253" s="217">
        <f>AF254+AF257+AF260</f>
        <v>0</v>
      </c>
      <c r="AG253" s="26"/>
      <c r="AH253" s="26"/>
      <c r="AI253" s="173"/>
      <c r="AJ253" s="173"/>
      <c r="AK253" s="173"/>
      <c r="AL253" s="173"/>
      <c r="AM253" s="173"/>
      <c r="AN253" s="174"/>
      <c r="AO253" s="126" t="s">
        <v>34</v>
      </c>
      <c r="AP253" s="344">
        <f>ROUND(AP76*AQ252,0)</f>
        <v>0</v>
      </c>
      <c r="AQ253" s="351" t="s">
        <v>39</v>
      </c>
      <c r="AR253" s="345">
        <f>ROUND(AR76*AQ252,0)</f>
        <v>0</v>
      </c>
      <c r="AS253" s="371"/>
      <c r="AT253" s="126" t="s">
        <v>34</v>
      </c>
      <c r="AU253" s="344">
        <f>IF(AV252=0,0,IF(AV252&gt;=10,1,IF(AV252&lt;=-10,-1,0)))</f>
        <v>0</v>
      </c>
      <c r="AV253" s="351" t="s">
        <v>39</v>
      </c>
      <c r="AW253" s="345">
        <f>IF(AV252=0,0,IF(AV252&gt;=4,1,IF(AV252&lt;=-4,-1,0)))</f>
        <v>0</v>
      </c>
      <c r="AX253" s="318"/>
      <c r="AY253" s="258" t="s">
        <v>34</v>
      </c>
      <c r="AZ253" s="372">
        <f t="shared" ref="AZ253:AZ258" si="173">IF($AG$2&gt;0,"限度超過",IF($A$176=$L$176,"限度超過",AP253+AU253))</f>
        <v>0</v>
      </c>
      <c r="BA253" s="319" t="s">
        <v>39</v>
      </c>
      <c r="BB253" s="127">
        <f>IF($AG$2&gt;0,"限度超過",IF($A$176=$L$176,"限度超過",AR253+AW253))</f>
        <v>0</v>
      </c>
      <c r="BC253" s="318"/>
      <c r="BD253" s="448" t="s">
        <v>34</v>
      </c>
      <c r="BE253" s="81">
        <f t="shared" ref="BE253:BE258" si="174">BE243</f>
        <v>0</v>
      </c>
      <c r="BF253" s="82" t="s">
        <v>39</v>
      </c>
      <c r="BG253" s="29">
        <f>BG243</f>
        <v>0</v>
      </c>
      <c r="BH253" s="12"/>
      <c r="BI253" s="80" t="s">
        <v>34</v>
      </c>
      <c r="BJ253" s="29">
        <f t="shared" ref="BJ253:BJ258" si="175">IF($A$176=$L$176,"限度超過",IF(BE253=0,0,BE253/$S$94))</f>
        <v>0</v>
      </c>
      <c r="BK253" s="80" t="s">
        <v>39</v>
      </c>
      <c r="BL253" s="29">
        <f>IF($A$176=$L$176,"限度超過",IF(BG253=0,0,BG253/$S$94))</f>
        <v>0</v>
      </c>
      <c r="BM253" s="12"/>
      <c r="BN253" s="30" t="s">
        <v>34</v>
      </c>
      <c r="BO253" s="29">
        <f t="shared" ref="BO253:BO258" si="176">IF($A$176=$L$176,"限度超過",IF($S$94&lt;=6,0,BJ253))</f>
        <v>0</v>
      </c>
      <c r="BP253" s="80" t="s">
        <v>39</v>
      </c>
      <c r="BQ253" s="29">
        <f>IF($A$176=$L$176,"限度超過",IF($S$94&lt;=6,0,BL253))</f>
        <v>0</v>
      </c>
      <c r="BR253" s="446"/>
      <c r="BS253" s="12"/>
      <c r="BT253" s="12"/>
      <c r="BU253" s="32" t="s">
        <v>51</v>
      </c>
      <c r="BV253" s="45">
        <f>入力画面!I15</f>
        <v>0</v>
      </c>
      <c r="BW253" s="12"/>
      <c r="BX253" s="32"/>
      <c r="BY253" s="33" t="str">
        <f>BY243</f>
        <v>料率</v>
      </c>
      <c r="BZ253" s="33">
        <f>BZ243</f>
        <v>7</v>
      </c>
      <c r="CA253" s="33">
        <f>CA243</f>
        <v>5</v>
      </c>
      <c r="CB253" s="33">
        <f>CB243</f>
        <v>2</v>
      </c>
      <c r="CC253" s="576" t="s">
        <v>341</v>
      </c>
      <c r="CD253" s="4"/>
      <c r="CE253" s="4"/>
      <c r="CF253" s="4"/>
      <c r="CG253" s="4"/>
      <c r="CH253" s="4"/>
      <c r="CI253" s="13"/>
    </row>
    <row r="254" spans="1:87" ht="18" customHeight="1">
      <c r="A254" s="1378" t="s">
        <v>0</v>
      </c>
      <c r="B254" s="1556" t="s">
        <v>129</v>
      </c>
      <c r="C254" s="1382">
        <f>C77</f>
        <v>0</v>
      </c>
      <c r="D254" s="1010" t="s">
        <v>58</v>
      </c>
      <c r="E254" s="1389">
        <f>IF(H257&gt;0,$CE$100, 0)</f>
        <v>0</v>
      </c>
      <c r="F254" s="1395" t="s">
        <v>22</v>
      </c>
      <c r="G254" s="1010" t="s">
        <v>59</v>
      </c>
      <c r="H254" s="85">
        <f>IF(H257&gt;0,$CE$184,0)</f>
        <v>0</v>
      </c>
      <c r="I254" s="1385" t="s">
        <v>22</v>
      </c>
      <c r="J254" s="1010" t="s">
        <v>59</v>
      </c>
      <c r="K254" s="51">
        <f>入力画面!I45</f>
        <v>0</v>
      </c>
      <c r="L254" s="52" t="s">
        <v>5</v>
      </c>
      <c r="M254" s="1395"/>
      <c r="N254" s="1527"/>
      <c r="O254" s="636"/>
      <c r="P254" s="1392" t="s">
        <v>14</v>
      </c>
      <c r="Q254" s="1392"/>
      <c r="R254" s="1391">
        <f>ROUNDDOWN(IF(((C254-E254)*H254/H255)*K254/K255&lt;0,0,((C254-E254)*H254/H255)*K254/K255),0)</f>
        <v>0</v>
      </c>
      <c r="S254" s="1520" t="s">
        <v>6</v>
      </c>
      <c r="T254" s="72" t="s">
        <v>1</v>
      </c>
      <c r="U254" s="105">
        <f>IF(H257=0,0,K260)</f>
        <v>0</v>
      </c>
      <c r="V254" s="88" t="s">
        <v>6</v>
      </c>
      <c r="W254" s="30" t="s">
        <v>35</v>
      </c>
      <c r="X254" s="29">
        <f t="shared" si="172"/>
        <v>0</v>
      </c>
      <c r="Y254" s="30" t="s">
        <v>40</v>
      </c>
      <c r="Z254" s="31">
        <f>IF($AH$13&gt;0,0,BB254)</f>
        <v>0</v>
      </c>
      <c r="AA254" s="26"/>
      <c r="AB254" s="26"/>
      <c r="AC254" s="491"/>
      <c r="AD254" s="26"/>
      <c r="AE254" s="634"/>
      <c r="AF254" s="1423">
        <f>ROUNDDOWN(IF(((C254-E254)*H254/H255)&lt;0,0,((C254-E254)*H254/H255)),0)</f>
        <v>0</v>
      </c>
      <c r="AG254" s="26"/>
      <c r="AH254" s="26"/>
      <c r="AI254" s="173"/>
      <c r="AJ254" s="173"/>
      <c r="AK254" s="173"/>
      <c r="AL254" s="173"/>
      <c r="AM254" s="173"/>
      <c r="AN254" s="174"/>
      <c r="AO254" s="126" t="s">
        <v>35</v>
      </c>
      <c r="AP254" s="344">
        <f>ROUND(AP77*AQ252,0)</f>
        <v>0</v>
      </c>
      <c r="AQ254" s="351" t="s">
        <v>40</v>
      </c>
      <c r="AR254" s="345">
        <f>ROUND(AR77*AQ252,0)</f>
        <v>0</v>
      </c>
      <c r="AS254" s="371"/>
      <c r="AT254" s="126" t="s">
        <v>35</v>
      </c>
      <c r="AU254" s="344">
        <f>IF(AV252=0,0,IF(AV252&gt;=9,1,IF(AV252&lt;=-9,-1,0)))</f>
        <v>0</v>
      </c>
      <c r="AV254" s="351" t="s">
        <v>40</v>
      </c>
      <c r="AW254" s="345">
        <f>IF(AV252=0,0,IF(AV252&gt;=3,1,IF(AV252&lt;=-3,-1,0)))</f>
        <v>0</v>
      </c>
      <c r="AX254" s="318"/>
      <c r="AY254" s="262" t="s">
        <v>35</v>
      </c>
      <c r="AZ254" s="372">
        <f t="shared" si="173"/>
        <v>0</v>
      </c>
      <c r="BA254" s="319" t="s">
        <v>40</v>
      </c>
      <c r="BB254" s="127">
        <f>IF($AG$2&gt;0,"限度超過",IF($A$176=$L$176,"限度超過",AR254+AW254))</f>
        <v>0</v>
      </c>
      <c r="BC254" s="318"/>
      <c r="BD254" s="448" t="s">
        <v>35</v>
      </c>
      <c r="BE254" s="81">
        <f t="shared" si="174"/>
        <v>0</v>
      </c>
      <c r="BF254" s="82" t="s">
        <v>40</v>
      </c>
      <c r="BG254" s="29">
        <f>BG244</f>
        <v>0</v>
      </c>
      <c r="BH254" s="12"/>
      <c r="BI254" s="30" t="s">
        <v>35</v>
      </c>
      <c r="BJ254" s="29">
        <f t="shared" si="175"/>
        <v>0</v>
      </c>
      <c r="BK254" s="30" t="s">
        <v>40</v>
      </c>
      <c r="BL254" s="29">
        <f>IF($A$176=$L$176,"限度超過",IF(BG254=0,0,BG254/$S$94))</f>
        <v>0</v>
      </c>
      <c r="BM254" s="12"/>
      <c r="BN254" s="30" t="s">
        <v>35</v>
      </c>
      <c r="BO254" s="29">
        <f t="shared" si="176"/>
        <v>0</v>
      </c>
      <c r="BP254" s="30" t="s">
        <v>40</v>
      </c>
      <c r="BQ254" s="29">
        <f>IF($A$176=$L$176,"限度超過",IF($S$94&lt;=6,0,BL254))</f>
        <v>0</v>
      </c>
      <c r="BR254" s="446"/>
      <c r="BS254" s="12"/>
      <c r="BT254" s="12"/>
      <c r="BU254" s="32" t="s">
        <v>52</v>
      </c>
      <c r="BV254" s="45">
        <f>K204</f>
        <v>0</v>
      </c>
      <c r="BW254" s="12"/>
      <c r="BX254" s="32" t="s">
        <v>17</v>
      </c>
      <c r="BY254" s="44">
        <v>0</v>
      </c>
      <c r="BZ254" s="45">
        <f>$CF$185+$CF$186</f>
        <v>700</v>
      </c>
      <c r="CA254" s="45">
        <f>$CG$185+$CG$186</f>
        <v>500</v>
      </c>
      <c r="CB254" s="45">
        <f>$CH$185+$CH$186</f>
        <v>200</v>
      </c>
      <c r="CC254" s="576"/>
      <c r="CD254" s="4"/>
      <c r="CE254" s="4"/>
      <c r="CF254" s="4"/>
      <c r="CG254" s="4"/>
      <c r="CH254" s="4"/>
      <c r="CI254" s="13"/>
    </row>
    <row r="255" spans="1:87" ht="18" customHeight="1">
      <c r="A255" s="1378"/>
      <c r="B255" s="1556"/>
      <c r="C255" s="1382"/>
      <c r="D255" s="1010"/>
      <c r="E255" s="1389"/>
      <c r="F255" s="1395"/>
      <c r="G255" s="1010"/>
      <c r="H255" s="619">
        <v>100</v>
      </c>
      <c r="I255" s="1385"/>
      <c r="J255" s="1010"/>
      <c r="K255" s="55">
        <v>12</v>
      </c>
      <c r="L255" s="12" t="s">
        <v>5</v>
      </c>
      <c r="M255" s="1395"/>
      <c r="N255" s="1527"/>
      <c r="O255" s="636"/>
      <c r="P255" s="1392"/>
      <c r="Q255" s="1392"/>
      <c r="R255" s="1391"/>
      <c r="S255" s="1520"/>
      <c r="T255" s="72" t="s">
        <v>29</v>
      </c>
      <c r="U255" s="105">
        <f>U253+U254</f>
        <v>0</v>
      </c>
      <c r="V255" s="88" t="s">
        <v>6</v>
      </c>
      <c r="W255" s="30" t="s">
        <v>36</v>
      </c>
      <c r="X255" s="29">
        <f t="shared" si="172"/>
        <v>0</v>
      </c>
      <c r="Y255" s="30" t="s">
        <v>41</v>
      </c>
      <c r="Z255" s="31">
        <f>IF($AH$13&gt;0,0,BB255)</f>
        <v>0</v>
      </c>
      <c r="AA255" s="26"/>
      <c r="AB255" s="26"/>
      <c r="AC255" s="491"/>
      <c r="AD255" s="26"/>
      <c r="AE255" s="634"/>
      <c r="AF255" s="1424"/>
      <c r="AG255" s="26"/>
      <c r="AH255" s="26"/>
      <c r="AI255" s="173"/>
      <c r="AJ255" s="173"/>
      <c r="AK255" s="173"/>
      <c r="AL255" s="173"/>
      <c r="AM255" s="173"/>
      <c r="AN255" s="174"/>
      <c r="AO255" s="126" t="s">
        <v>36</v>
      </c>
      <c r="AP255" s="344">
        <f>ROUND(AP78*AQ252,0)</f>
        <v>0</v>
      </c>
      <c r="AQ255" s="351" t="s">
        <v>41</v>
      </c>
      <c r="AR255" s="345">
        <f>ROUND(AR78*AQ252,0)</f>
        <v>0</v>
      </c>
      <c r="AS255" s="350"/>
      <c r="AT255" s="126" t="s">
        <v>36</v>
      </c>
      <c r="AU255" s="344">
        <f>IF(AV252=0,0,IF(AV252&gt;=8,1,IF(AV252&lt;=-8,-1,0)))</f>
        <v>0</v>
      </c>
      <c r="AV255" s="351" t="s">
        <v>41</v>
      </c>
      <c r="AW255" s="345">
        <f>IF(AV252=0,0,IF(AV252&gt;=2,1,IF(AV252&lt;=-2,-1,0)))</f>
        <v>0</v>
      </c>
      <c r="AX255" s="318"/>
      <c r="AY255" s="262" t="s">
        <v>36</v>
      </c>
      <c r="AZ255" s="372">
        <f t="shared" si="173"/>
        <v>0</v>
      </c>
      <c r="BA255" s="319" t="s">
        <v>41</v>
      </c>
      <c r="BB255" s="127">
        <f>IF($AG$2&gt;0,"限度超過",IF($A$176=$L$176,"限度超過",AR255+AW255))</f>
        <v>0</v>
      </c>
      <c r="BC255" s="318"/>
      <c r="BD255" s="448" t="s">
        <v>36</v>
      </c>
      <c r="BE255" s="81">
        <f t="shared" si="174"/>
        <v>0</v>
      </c>
      <c r="BF255" s="82" t="s">
        <v>41</v>
      </c>
      <c r="BG255" s="29">
        <f>BG245</f>
        <v>0</v>
      </c>
      <c r="BH255" s="12"/>
      <c r="BI255" s="30" t="s">
        <v>36</v>
      </c>
      <c r="BJ255" s="29">
        <f t="shared" si="175"/>
        <v>0</v>
      </c>
      <c r="BK255" s="30" t="s">
        <v>41</v>
      </c>
      <c r="BL255" s="29">
        <f>IF($A$176=$L$176,"限度超過",IF(BG255=0,0,BG255/$S$94))</f>
        <v>0</v>
      </c>
      <c r="BM255" s="12"/>
      <c r="BN255" s="30" t="s">
        <v>36</v>
      </c>
      <c r="BO255" s="29">
        <f t="shared" si="176"/>
        <v>0</v>
      </c>
      <c r="BP255" s="30" t="s">
        <v>41</v>
      </c>
      <c r="BQ255" s="29">
        <f>IF($A$176=$L$176,"限度超過",IF($S$94&lt;=6,0,BL255))</f>
        <v>0</v>
      </c>
      <c r="BR255" s="446"/>
      <c r="BS255" s="12"/>
      <c r="BT255" s="12"/>
      <c r="BU255" s="32" t="s">
        <v>53</v>
      </c>
      <c r="BV255" s="45">
        <f>K214</f>
        <v>0</v>
      </c>
      <c r="BW255" s="12"/>
      <c r="BX255" s="32" t="s">
        <v>8</v>
      </c>
      <c r="BY255" s="45">
        <f>K257</f>
        <v>0</v>
      </c>
      <c r="BZ255" s="45">
        <f t="shared" ref="BZ255:BZ257" si="177">BY255</f>
        <v>0</v>
      </c>
      <c r="CA255" s="45">
        <f t="shared" ref="CA255:CA257" si="178">BZ255</f>
        <v>0</v>
      </c>
      <c r="CB255" s="45">
        <f t="shared" ref="CB255:CB257" si="179">CA255</f>
        <v>0</v>
      </c>
      <c r="CC255" s="576">
        <f>CB255</f>
        <v>0</v>
      </c>
      <c r="CD255" s="4"/>
      <c r="CE255" s="4"/>
      <c r="CF255" s="4"/>
      <c r="CG255" s="4"/>
      <c r="CH255" s="4"/>
      <c r="CI255" s="13"/>
    </row>
    <row r="256" spans="1:87" ht="18" customHeight="1">
      <c r="A256" s="165"/>
      <c r="B256" s="12"/>
      <c r="C256" s="620"/>
      <c r="D256" s="12"/>
      <c r="E256" s="12"/>
      <c r="F256" s="12"/>
      <c r="G256" s="12"/>
      <c r="H256" s="91"/>
      <c r="I256" s="75"/>
      <c r="J256" s="75"/>
      <c r="K256" s="92"/>
      <c r="L256" s="75"/>
      <c r="M256" s="93"/>
      <c r="N256" s="578">
        <f>IF(入力画面!E140=1,"未就学児",0)</f>
        <v>0</v>
      </c>
      <c r="O256" s="42">
        <f>IF(H257=0,0,$D$94)</f>
        <v>0</v>
      </c>
      <c r="P256" s="463">
        <f>IF(O257=0,0,"軽減額")</f>
        <v>0</v>
      </c>
      <c r="Q256" s="12"/>
      <c r="R256" s="95"/>
      <c r="S256" s="641"/>
      <c r="T256" s="96" t="s">
        <v>31</v>
      </c>
      <c r="U256" s="105">
        <f>ROUNDDOWN(U255,-2)</f>
        <v>0</v>
      </c>
      <c r="V256" s="88" t="s">
        <v>6</v>
      </c>
      <c r="W256" s="30" t="s">
        <v>43</v>
      </c>
      <c r="X256" s="29">
        <f t="shared" si="172"/>
        <v>0</v>
      </c>
      <c r="Y256" s="30" t="s">
        <v>42</v>
      </c>
      <c r="Z256" s="31">
        <f>IF($AH$13&gt;0,0,BB256)</f>
        <v>0</v>
      </c>
      <c r="AA256" s="26"/>
      <c r="AB256" s="26"/>
      <c r="AC256" s="491"/>
      <c r="AD256" s="26"/>
      <c r="AE256" s="497" t="str">
        <f>IF($AH$13&gt;0,"－",IF($AG$2&gt;0,"限度超過",IF(U257=Z257,"OK","ｱﾝﾏｯﾁ")))</f>
        <v>OK</v>
      </c>
      <c r="AF256" s="496"/>
      <c r="AG256" s="26"/>
      <c r="AI256" s="173"/>
      <c r="AJ256" s="173"/>
      <c r="AK256" s="173"/>
      <c r="AL256" s="173"/>
      <c r="AM256" s="173"/>
      <c r="AN256" s="174"/>
      <c r="AO256" s="126" t="s">
        <v>43</v>
      </c>
      <c r="AP256" s="344">
        <f>ROUND(AP79*AQ252,0)</f>
        <v>0</v>
      </c>
      <c r="AQ256" s="351" t="s">
        <v>42</v>
      </c>
      <c r="AR256" s="345">
        <f>ROUND(AR79*AQ252,0)</f>
        <v>0</v>
      </c>
      <c r="AS256" s="350"/>
      <c r="AT256" s="126" t="s">
        <v>43</v>
      </c>
      <c r="AU256" s="344">
        <f>IF(AV252=0,0,IF(AV252&gt;=7,1,IF(AV252&lt;=-7,-1,0)))</f>
        <v>0</v>
      </c>
      <c r="AV256" s="351" t="s">
        <v>42</v>
      </c>
      <c r="AW256" s="345">
        <f>IF(AV252=0,0,IF(AV252&gt;=1,1,IF(AV252&lt;=-1,-1,0)))</f>
        <v>0</v>
      </c>
      <c r="AX256" s="318"/>
      <c r="AY256" s="262" t="s">
        <v>43</v>
      </c>
      <c r="AZ256" s="372">
        <f t="shared" si="173"/>
        <v>0</v>
      </c>
      <c r="BA256" s="319" t="s">
        <v>42</v>
      </c>
      <c r="BB256" s="127">
        <f>IF($AG$2&gt;0,"限度超過",IF($A$176=$L$176,"限度超過",AR256+AW256))</f>
        <v>0</v>
      </c>
      <c r="BC256" s="318"/>
      <c r="BD256" s="448" t="s">
        <v>43</v>
      </c>
      <c r="BE256" s="81">
        <f t="shared" si="174"/>
        <v>0</v>
      </c>
      <c r="BF256" s="82" t="s">
        <v>42</v>
      </c>
      <c r="BG256" s="29">
        <f>BG246</f>
        <v>0</v>
      </c>
      <c r="BH256" s="12"/>
      <c r="BI256" s="30" t="s">
        <v>43</v>
      </c>
      <c r="BJ256" s="29">
        <f t="shared" si="175"/>
        <v>0</v>
      </c>
      <c r="BK256" s="30" t="s">
        <v>42</v>
      </c>
      <c r="BL256" s="29">
        <f>IF($A$176=$L$176,"限度超過",IF(BG256=0,0,BG256/$S$94))</f>
        <v>0</v>
      </c>
      <c r="BM256" s="12"/>
      <c r="BN256" s="30" t="s">
        <v>43</v>
      </c>
      <c r="BO256" s="29">
        <f t="shared" si="176"/>
        <v>0</v>
      </c>
      <c r="BP256" s="30" t="s">
        <v>42</v>
      </c>
      <c r="BQ256" s="29">
        <f>IF($A$176=$L$176,"限度超過",IF($S$94&lt;=6,0,BL256))</f>
        <v>0</v>
      </c>
      <c r="BR256" s="446"/>
      <c r="BS256" s="12"/>
      <c r="BT256" s="12"/>
      <c r="BU256" s="32" t="s">
        <v>54</v>
      </c>
      <c r="BV256" s="45">
        <f>K224</f>
        <v>0</v>
      </c>
      <c r="BW256" s="12"/>
      <c r="BX256" s="32" t="s">
        <v>25</v>
      </c>
      <c r="BY256" s="45">
        <f>K258</f>
        <v>0</v>
      </c>
      <c r="BZ256" s="45">
        <f t="shared" si="177"/>
        <v>0</v>
      </c>
      <c r="CA256" s="45">
        <f t="shared" si="178"/>
        <v>0</v>
      </c>
      <c r="CB256" s="45">
        <f t="shared" si="179"/>
        <v>0</v>
      </c>
      <c r="CC256" s="576">
        <f>CB256</f>
        <v>0</v>
      </c>
      <c r="CD256" s="4"/>
      <c r="CE256" s="4"/>
      <c r="CF256" s="4"/>
      <c r="CG256" s="4"/>
      <c r="CH256" s="4"/>
      <c r="CI256" s="13"/>
    </row>
    <row r="257" spans="1:87" ht="18" customHeight="1">
      <c r="A257" s="1378" t="s">
        <v>10</v>
      </c>
      <c r="B257" s="12"/>
      <c r="C257" s="12"/>
      <c r="D257" s="1379" t="s">
        <v>7</v>
      </c>
      <c r="E257" s="1389">
        <f>IF(H257&gt;0,$CE$185+$CE$186,0)</f>
        <v>0</v>
      </c>
      <c r="F257" s="97"/>
      <c r="G257" s="1010" t="s">
        <v>59</v>
      </c>
      <c r="H257" s="1390">
        <f>IF(B252=0,0,SUBTOTAL(3,B252))</f>
        <v>0</v>
      </c>
      <c r="I257" s="1385" t="s">
        <v>22</v>
      </c>
      <c r="J257" s="1010" t="s">
        <v>59</v>
      </c>
      <c r="K257" s="51">
        <f>IF(H257&gt;0,K254,0)</f>
        <v>0</v>
      </c>
      <c r="L257" s="52" t="s">
        <v>5</v>
      </c>
      <c r="M257" s="1527" t="s">
        <v>122</v>
      </c>
      <c r="N257" s="1548">
        <f>IF(O257=0,0,"―")</f>
        <v>0</v>
      </c>
      <c r="O257" s="1525">
        <f>IF(H257=0,0,IF(BY259=0,IF($D$94=7,BZ258,IF($D$94=5,CA258,IF($D$94=2,CB258,CC258))),IF($D$94=7,BZ258+BZ259,IF($D$94=5,CA258+CA259,IF($D$94=2,CB258+CB259,CC258+CC259)))))</f>
        <v>0</v>
      </c>
      <c r="P257" s="1525"/>
      <c r="Q257" s="1392" t="s">
        <v>14</v>
      </c>
      <c r="R257" s="1391">
        <f>IF(H257&gt;0,IF(K254=0,0,ROUNDDOWN(((E257*H257)*K257/K258)-O257,0)),0)</f>
        <v>0</v>
      </c>
      <c r="S257" s="1520" t="s">
        <v>6</v>
      </c>
      <c r="T257" s="1321" t="s">
        <v>32</v>
      </c>
      <c r="U257" s="1586">
        <f>IF($L$264=$A$264,"限度超過!",U255)</f>
        <v>0</v>
      </c>
      <c r="V257" s="1509" t="s">
        <v>6</v>
      </c>
      <c r="W257" s="30" t="s">
        <v>37</v>
      </c>
      <c r="X257" s="29">
        <f t="shared" si="172"/>
        <v>0</v>
      </c>
      <c r="Y257" s="1313" t="s">
        <v>44</v>
      </c>
      <c r="Z257" s="1420">
        <f>IF($AH$13&gt;0,0,BB257)</f>
        <v>0</v>
      </c>
      <c r="AA257" s="4"/>
      <c r="AB257" s="4"/>
      <c r="AC257" s="489"/>
      <c r="AD257" s="4"/>
      <c r="AE257" s="497" t="str">
        <f>IF($AG$2&gt;0,"限度超過",IF(X253+X254+X255+X256+X257+X258+Z253+Z254+Z255+Z256=Z257,"OK","エラー"))</f>
        <v>OK</v>
      </c>
      <c r="AF257" s="1508">
        <f>IF(H257&gt;0,IF(K254=0,0,ROUNDDOWN((E257*H257)-O257,0)),0)</f>
        <v>0</v>
      </c>
      <c r="AG257" s="4"/>
      <c r="AI257" s="174"/>
      <c r="AJ257" s="174"/>
      <c r="AK257" s="174"/>
      <c r="AL257" s="174"/>
      <c r="AM257" s="174"/>
      <c r="AN257" s="174"/>
      <c r="AO257" s="126" t="s">
        <v>37</v>
      </c>
      <c r="AP257" s="344">
        <f>ROUND(AP80*AQ252,0)</f>
        <v>0</v>
      </c>
      <c r="AQ257" s="352" t="s">
        <v>44</v>
      </c>
      <c r="AR257" s="346">
        <f>AP253+AP254+AP255+AP256+AP257+AP258+AR253+AR254+AR255+AR256</f>
        <v>0</v>
      </c>
      <c r="AS257" s="350"/>
      <c r="AT257" s="126" t="s">
        <v>37</v>
      </c>
      <c r="AU257" s="344">
        <f>IF(AV252=0,0,IF(AV252&gt;=6,1,IF(AV252&lt;=-6,-1,0)))</f>
        <v>0</v>
      </c>
      <c r="AV257" s="352" t="s">
        <v>44</v>
      </c>
      <c r="AW257" s="353">
        <f>AU253+AU254+AU255+AU256+AU257+AU258+AW253+AW254+AW255+AW256</f>
        <v>0</v>
      </c>
      <c r="AX257" s="318"/>
      <c r="AY257" s="262" t="s">
        <v>37</v>
      </c>
      <c r="AZ257" s="372">
        <f t="shared" si="173"/>
        <v>0</v>
      </c>
      <c r="BA257" s="320" t="s">
        <v>44</v>
      </c>
      <c r="BB257" s="417">
        <f>IF($AG$2&gt;0,"限度超過",AZ253+AZ254+AZ255+AZ256+AZ257+AZ258+BB253+BB254+BB255+BB256)</f>
        <v>0</v>
      </c>
      <c r="BC257" s="318"/>
      <c r="BD257" s="448" t="s">
        <v>37</v>
      </c>
      <c r="BE257" s="81">
        <f t="shared" si="174"/>
        <v>0</v>
      </c>
      <c r="BF257" s="440" t="s">
        <v>44</v>
      </c>
      <c r="BG257" s="29">
        <f>IF($A$176=$L$176,"限度超過",BE253+BE254+BE255+BE256+BE257+BE258+BG253+BG254+BG255+BG256)</f>
        <v>0</v>
      </c>
      <c r="BH257" s="12"/>
      <c r="BI257" s="30" t="s">
        <v>37</v>
      </c>
      <c r="BJ257" s="29">
        <f t="shared" si="175"/>
        <v>0</v>
      </c>
      <c r="BK257" s="98" t="s">
        <v>44</v>
      </c>
      <c r="BL257" s="29">
        <f>IF($A$176=$L$176,"限度超過",BJ253+BJ254+BJ255+BJ256+BJ257+BJ258+BL253+BL254+BL255+BL256)</f>
        <v>0</v>
      </c>
      <c r="BM257" s="12"/>
      <c r="BN257" s="30" t="s">
        <v>37</v>
      </c>
      <c r="BO257" s="29">
        <f t="shared" si="176"/>
        <v>0</v>
      </c>
      <c r="BP257" s="98" t="s">
        <v>44</v>
      </c>
      <c r="BQ257" s="29">
        <f>IF($A$176=$L$176,"限度超過",BO253+BO254+BO255+BO256+BO257+BO258+BQ253+BQ254+BQ255+BQ256)</f>
        <v>0</v>
      </c>
      <c r="BR257" s="446"/>
      <c r="BS257" s="12"/>
      <c r="BT257" s="12"/>
      <c r="BU257" s="32" t="s">
        <v>55</v>
      </c>
      <c r="BV257" s="45">
        <f>K234</f>
        <v>0</v>
      </c>
      <c r="BW257" s="12"/>
      <c r="BX257" s="32" t="s">
        <v>26</v>
      </c>
      <c r="BY257" s="26">
        <f>H257</f>
        <v>0</v>
      </c>
      <c r="BZ257" s="99">
        <f t="shared" si="177"/>
        <v>0</v>
      </c>
      <c r="CA257" s="99">
        <f t="shared" si="178"/>
        <v>0</v>
      </c>
      <c r="CB257" s="99">
        <f t="shared" si="179"/>
        <v>0</v>
      </c>
      <c r="CC257" s="576">
        <f>CB257</f>
        <v>0</v>
      </c>
      <c r="CD257" s="4"/>
      <c r="CE257" s="4"/>
      <c r="CF257" s="4"/>
      <c r="CG257" s="4"/>
      <c r="CH257" s="4"/>
      <c r="CI257" s="13"/>
    </row>
    <row r="258" spans="1:87" ht="18" customHeight="1">
      <c r="A258" s="1378"/>
      <c r="B258" s="12"/>
      <c r="C258" s="12"/>
      <c r="D258" s="1379"/>
      <c r="E258" s="1389"/>
      <c r="F258" s="12"/>
      <c r="G258" s="1010"/>
      <c r="H258" s="1390"/>
      <c r="I258" s="1385"/>
      <c r="J258" s="1010"/>
      <c r="K258" s="180">
        <f>IF(H257&gt;0,K255,0)</f>
        <v>0</v>
      </c>
      <c r="L258" s="12" t="s">
        <v>5</v>
      </c>
      <c r="M258" s="1527"/>
      <c r="N258" s="1548"/>
      <c r="O258" s="1525"/>
      <c r="P258" s="1525"/>
      <c r="Q258" s="1392"/>
      <c r="R258" s="1391"/>
      <c r="S258" s="1520"/>
      <c r="T258" s="1582"/>
      <c r="U258" s="1587"/>
      <c r="V258" s="1510"/>
      <c r="W258" s="30" t="s">
        <v>38</v>
      </c>
      <c r="X258" s="29">
        <f t="shared" si="172"/>
        <v>0</v>
      </c>
      <c r="Y258" s="1422"/>
      <c r="Z258" s="1421"/>
      <c r="AA258" s="624"/>
      <c r="AB258" s="624"/>
      <c r="AC258" s="222"/>
      <c r="AD258" s="624"/>
      <c r="AE258" s="624"/>
      <c r="AF258" s="1559"/>
      <c r="AG258" s="624"/>
      <c r="AH258" s="624"/>
      <c r="AI258" s="170"/>
      <c r="AJ258" s="170"/>
      <c r="AK258" s="170"/>
      <c r="AL258" s="170"/>
      <c r="AM258" s="170"/>
      <c r="AN258" s="174"/>
      <c r="AO258" s="126" t="s">
        <v>38</v>
      </c>
      <c r="AP258" s="344">
        <f>ROUND(AP81*AQ252,0)</f>
        <v>0</v>
      </c>
      <c r="AQ258" s="351" t="s">
        <v>75</v>
      </c>
      <c r="AR258" s="330">
        <f>IF($AG$2&gt;0,"限度超過",U257)</f>
        <v>0</v>
      </c>
      <c r="AS258" s="347"/>
      <c r="AT258" s="126" t="s">
        <v>38</v>
      </c>
      <c r="AU258" s="344">
        <f>IF(AV252=0,0,IF(AV252&gt;=5,1,IF(AV252&lt;=-5,-1,0)))</f>
        <v>0</v>
      </c>
      <c r="AV258" s="351"/>
      <c r="AW258" s="354" t="str">
        <f>IF(AU253+AU254+AU255+AU256+AU257+AU258+AW253+AW254+AW255+AW256=AV252,"計算ＯＫ","エラー発生")</f>
        <v>計算ＯＫ</v>
      </c>
      <c r="AX258" s="318"/>
      <c r="AY258" s="262" t="s">
        <v>38</v>
      </c>
      <c r="AZ258" s="372">
        <f t="shared" si="173"/>
        <v>0</v>
      </c>
      <c r="BA258" s="319"/>
      <c r="BB258" s="418">
        <f>IF($AG$2&gt;0,"限度超過",IF($A$264=$L$264,"限度超過",$U$257))</f>
        <v>0</v>
      </c>
      <c r="BC258" s="318"/>
      <c r="BD258" s="448" t="s">
        <v>38</v>
      </c>
      <c r="BE258" s="81">
        <f t="shared" si="174"/>
        <v>0</v>
      </c>
      <c r="BF258" s="82"/>
      <c r="BG258" s="100"/>
      <c r="BH258" s="12"/>
      <c r="BI258" s="30" t="s">
        <v>38</v>
      </c>
      <c r="BJ258" s="29">
        <f t="shared" si="175"/>
        <v>0</v>
      </c>
      <c r="BK258" s="30"/>
      <c r="BL258" s="100"/>
      <c r="BM258" s="12"/>
      <c r="BN258" s="30" t="s">
        <v>38</v>
      </c>
      <c r="BO258" s="29">
        <f t="shared" si="176"/>
        <v>0</v>
      </c>
      <c r="BP258" s="30"/>
      <c r="BQ258" s="100"/>
      <c r="BR258" s="446"/>
      <c r="BS258" s="12"/>
      <c r="BT258" s="12"/>
      <c r="BU258" s="32" t="s">
        <v>45</v>
      </c>
      <c r="BV258" s="45">
        <f>K244</f>
        <v>0</v>
      </c>
      <c r="BW258" s="12"/>
      <c r="BX258" s="67" t="s">
        <v>27</v>
      </c>
      <c r="BY258" s="45">
        <f>IF(BY257&gt;0,ROUNDDOWN(BY254*BY257*BY255/BY256,0),0)</f>
        <v>0</v>
      </c>
      <c r="BZ258" s="45">
        <f>IF(BZ257&gt;0,ROUNDDOWN(BZ254*BZ257*BZ255/BZ256,0),0)</f>
        <v>0</v>
      </c>
      <c r="CA258" s="45">
        <f>IF(CA257&gt;0,ROUNDDOWN(CA254*CA257*CA255/CA256,0),0)</f>
        <v>0</v>
      </c>
      <c r="CB258" s="45">
        <f>IF(CB257&gt;0,ROUNDDOWN(CB254*CB257*CB255/CB256,0),0)</f>
        <v>0</v>
      </c>
      <c r="CC258" s="576">
        <v>0</v>
      </c>
      <c r="CD258" s="4"/>
      <c r="CE258" s="4"/>
      <c r="CF258" s="4"/>
      <c r="CG258" s="4"/>
      <c r="CH258" s="4"/>
      <c r="CI258" s="13"/>
    </row>
    <row r="259" spans="1:87" ht="18" customHeight="1">
      <c r="A259" s="626"/>
      <c r="B259" s="75" t="s">
        <v>118</v>
      </c>
      <c r="C259" s="12"/>
      <c r="D259" s="629"/>
      <c r="E259" s="630"/>
      <c r="F259" s="12"/>
      <c r="G259" s="620"/>
      <c r="H259" s="632"/>
      <c r="I259" s="633"/>
      <c r="J259" s="620"/>
      <c r="K259" s="180"/>
      <c r="L259" s="12"/>
      <c r="M259" s="636"/>
      <c r="N259" s="636"/>
      <c r="O259" s="631"/>
      <c r="P259" s="631"/>
      <c r="Q259" s="628"/>
      <c r="R259" s="637"/>
      <c r="S259" s="641"/>
      <c r="T259" s="620"/>
      <c r="U259" s="182"/>
      <c r="V259" s="620"/>
      <c r="W259" s="4"/>
      <c r="X259" s="26"/>
      <c r="Y259" s="170"/>
      <c r="Z259" s="185"/>
      <c r="AA259" s="73"/>
      <c r="AB259" s="73"/>
      <c r="AC259" s="223"/>
      <c r="AD259" s="73"/>
      <c r="AE259" s="73"/>
      <c r="AF259" s="234"/>
      <c r="AG259" s="73"/>
      <c r="AH259" s="189"/>
      <c r="AI259" s="175"/>
      <c r="AJ259" s="175"/>
      <c r="AK259" s="175"/>
      <c r="AL259" s="175"/>
      <c r="AM259" s="175"/>
      <c r="AN259" s="175"/>
      <c r="AO259" s="348"/>
      <c r="AP259" s="348"/>
      <c r="AQ259" s="349"/>
      <c r="AR259" s="349"/>
      <c r="AS259" s="347"/>
      <c r="AT259" s="347"/>
      <c r="AU259" s="347"/>
      <c r="AV259" s="347"/>
      <c r="AW259" s="347"/>
      <c r="AX259" s="318"/>
      <c r="AY259" s="423"/>
      <c r="AZ259" s="424"/>
      <c r="BA259" s="425"/>
      <c r="BB259" s="465" t="str">
        <f>IF(BB257=BB258,"OK","エラー")</f>
        <v>OK</v>
      </c>
      <c r="BC259" s="318"/>
      <c r="BD259" s="449"/>
      <c r="BH259" s="12"/>
      <c r="BM259" s="12"/>
      <c r="BR259" s="446"/>
      <c r="BS259" s="12"/>
      <c r="BT259" s="12"/>
      <c r="BU259" s="32" t="s">
        <v>49</v>
      </c>
      <c r="BV259" s="45">
        <f>K254</f>
        <v>0</v>
      </c>
      <c r="BW259" s="12"/>
      <c r="BX259" s="32" t="s">
        <v>340</v>
      </c>
      <c r="BY259" s="576">
        <f>IF(入力画面!E72=1,1,0)</f>
        <v>0</v>
      </c>
      <c r="BZ259" s="576">
        <f>IF($BY$259=1,ROUNDDOWN($CF$190*BZ255/BZ256,0),0)</f>
        <v>0</v>
      </c>
      <c r="CA259" s="576">
        <f>IF($BY$259=1,ROUNDDOWN($CG$190*CA255/CA256,0),0)</f>
        <v>0</v>
      </c>
      <c r="CB259" s="576">
        <f>IF($BY$259=1,ROUNDDOWN($CH$190*CB255/CB256,0),0)</f>
        <v>0</v>
      </c>
      <c r="CC259" s="576">
        <f>IF($BY$259=1,ROUNDDOWN($CE$190*CC255/CC256,0),0)</f>
        <v>0</v>
      </c>
      <c r="CD259" s="4"/>
      <c r="CE259" s="4"/>
      <c r="CF259" s="4"/>
      <c r="CG259" s="4"/>
      <c r="CH259" s="4"/>
      <c r="CI259" s="13"/>
    </row>
    <row r="260" spans="1:87" ht="18" customHeight="1" thickBot="1">
      <c r="A260" s="58" t="s">
        <v>1</v>
      </c>
      <c r="B260" s="52"/>
      <c r="C260" s="187">
        <f>IF(H257&gt;0,$X$190,0)</f>
        <v>0</v>
      </c>
      <c r="D260" s="201" t="s">
        <v>6</v>
      </c>
      <c r="E260" s="60" t="s">
        <v>59</v>
      </c>
      <c r="F260" s="1377">
        <f>K254</f>
        <v>0</v>
      </c>
      <c r="G260" s="1377"/>
      <c r="H260" s="214" t="s">
        <v>5</v>
      </c>
      <c r="I260" s="1388" t="s">
        <v>14</v>
      </c>
      <c r="J260" s="1388"/>
      <c r="K260" s="1377">
        <f>C260*F260</f>
        <v>0</v>
      </c>
      <c r="L260" s="1377"/>
      <c r="M260" s="202" t="s">
        <v>6</v>
      </c>
      <c r="N260" s="202"/>
      <c r="O260" s="203"/>
      <c r="P260" s="203"/>
      <c r="Q260" s="63"/>
      <c r="R260" s="204"/>
      <c r="S260" s="59"/>
      <c r="T260" s="622"/>
      <c r="U260" s="205"/>
      <c r="V260" s="622"/>
      <c r="W260" s="186"/>
      <c r="X260" s="187"/>
      <c r="Y260" s="206"/>
      <c r="Z260" s="642"/>
      <c r="AA260" s="26"/>
      <c r="AB260" s="26"/>
      <c r="AC260" s="491"/>
      <c r="AD260" s="26"/>
      <c r="AE260" s="634"/>
      <c r="AF260" s="235"/>
      <c r="AG260" s="26"/>
      <c r="AH260" s="26"/>
      <c r="AI260" s="173"/>
      <c r="AJ260" s="173"/>
      <c r="AK260" s="173"/>
      <c r="AL260" s="173"/>
      <c r="AM260" s="173"/>
      <c r="AN260" s="173"/>
      <c r="AO260" s="173"/>
      <c r="AP260" s="173"/>
      <c r="AQ260" s="173"/>
      <c r="AR260" s="173"/>
      <c r="AS260" s="173"/>
      <c r="AT260" s="173"/>
      <c r="AU260" s="173"/>
      <c r="AV260" s="173"/>
      <c r="AW260" s="173"/>
      <c r="AX260" s="12"/>
      <c r="BC260" s="12"/>
      <c r="BD260" s="451"/>
      <c r="BE260" s="452"/>
      <c r="BF260" s="452"/>
      <c r="BG260" s="452"/>
      <c r="BH260" s="453"/>
      <c r="BI260" s="452"/>
      <c r="BJ260" s="452"/>
      <c r="BK260" s="452"/>
      <c r="BL260" s="452"/>
      <c r="BM260" s="453"/>
      <c r="BN260" s="452"/>
      <c r="BO260" s="452"/>
      <c r="BP260" s="452"/>
      <c r="BQ260" s="452"/>
      <c r="BR260" s="454"/>
      <c r="BS260" s="12"/>
      <c r="BT260" s="12"/>
      <c r="BU260" s="168" t="s">
        <v>108</v>
      </c>
      <c r="BV260" s="211">
        <f>MAX(BV253:BV259)</f>
        <v>0</v>
      </c>
      <c r="BW260" s="12"/>
      <c r="BX260" s="4"/>
      <c r="BY260" s="4"/>
      <c r="BZ260" s="4"/>
      <c r="CA260" s="4"/>
      <c r="CB260" s="4"/>
      <c r="CC260" s="4"/>
      <c r="CD260" s="4"/>
      <c r="CE260" s="4"/>
      <c r="CF260" s="4"/>
      <c r="CG260" s="4"/>
      <c r="CH260" s="4"/>
      <c r="CI260" s="13"/>
    </row>
    <row r="261" spans="1:87" ht="7.5" customHeight="1" thickTop="1">
      <c r="A261" s="641"/>
      <c r="B261" s="12"/>
      <c r="C261" s="12"/>
      <c r="D261" s="629"/>
      <c r="E261" s="630"/>
      <c r="F261" s="12"/>
      <c r="G261" s="620"/>
      <c r="H261" s="632"/>
      <c r="I261" s="633"/>
      <c r="J261" s="620"/>
      <c r="K261" s="180"/>
      <c r="L261" s="12"/>
      <c r="M261" s="636"/>
      <c r="N261" s="636"/>
      <c r="O261" s="631"/>
      <c r="P261" s="631"/>
      <c r="Q261" s="628"/>
      <c r="R261" s="637"/>
      <c r="S261" s="641"/>
      <c r="T261" s="620"/>
      <c r="U261" s="188"/>
      <c r="V261" s="620"/>
      <c r="W261" s="4"/>
      <c r="X261" s="26"/>
      <c r="Y261" s="170"/>
      <c r="Z261" s="637"/>
      <c r="AA261" s="26"/>
      <c r="AB261" s="26"/>
      <c r="AC261" s="491"/>
      <c r="AD261" s="26"/>
      <c r="AE261" s="634"/>
      <c r="AF261" s="240"/>
      <c r="AG261" s="26"/>
      <c r="AH261" s="26"/>
      <c r="AI261" s="173"/>
      <c r="AJ261" s="173"/>
      <c r="AK261" s="173"/>
      <c r="AL261" s="173"/>
      <c r="AM261" s="173"/>
      <c r="AN261" s="173"/>
      <c r="AO261" s="173"/>
      <c r="AP261" s="173"/>
      <c r="AQ261" s="173"/>
      <c r="AR261" s="173"/>
      <c r="AS261" s="173"/>
      <c r="AT261" s="173"/>
      <c r="AU261" s="173"/>
      <c r="AV261" s="173"/>
      <c r="AW261" s="173"/>
      <c r="AX261" s="12"/>
      <c r="BC261" s="12"/>
      <c r="BH261" s="12"/>
      <c r="BM261" s="12"/>
      <c r="BR261" s="12"/>
      <c r="BS261" s="12"/>
      <c r="BT261" s="12"/>
      <c r="BU261" s="12"/>
      <c r="BV261" s="12"/>
      <c r="BW261" s="12"/>
      <c r="BX261" s="4"/>
      <c r="BY261" s="4"/>
      <c r="BZ261" s="4"/>
      <c r="CA261" s="4"/>
      <c r="CB261" s="4"/>
      <c r="CC261" s="4"/>
      <c r="CD261" s="4"/>
      <c r="CE261" s="4"/>
      <c r="CF261" s="4"/>
      <c r="CG261" s="4"/>
      <c r="CH261" s="4"/>
      <c r="CI261" s="13"/>
    </row>
    <row r="262" spans="1:87" ht="7.5" customHeight="1">
      <c r="D262" s="101"/>
      <c r="E262" s="640"/>
      <c r="G262" s="9"/>
      <c r="H262" s="102"/>
      <c r="I262" s="107"/>
      <c r="J262" s="9"/>
      <c r="K262" s="108"/>
      <c r="Q262" s="640"/>
      <c r="R262" s="69"/>
      <c r="S262" s="68"/>
      <c r="T262" s="68"/>
      <c r="U262" s="68"/>
      <c r="AA262" s="26"/>
      <c r="AB262" s="26"/>
      <c r="AC262" s="491"/>
      <c r="AD262" s="26"/>
      <c r="AE262" s="634"/>
      <c r="AF262" s="26"/>
      <c r="AG262" s="26"/>
      <c r="AH262" s="26"/>
      <c r="AI262" s="173"/>
      <c r="AJ262" s="173"/>
      <c r="AK262" s="173"/>
      <c r="AL262" s="173"/>
      <c r="AM262" s="173"/>
      <c r="AN262" s="173"/>
      <c r="AO262" s="173"/>
      <c r="AP262" s="173"/>
      <c r="AQ262" s="173"/>
      <c r="AR262" s="173"/>
      <c r="AS262" s="173"/>
      <c r="AT262" s="173"/>
      <c r="AU262" s="173"/>
      <c r="AV262" s="173"/>
      <c r="AW262" s="173"/>
      <c r="AX262" s="12"/>
      <c r="BC262" s="12"/>
      <c r="BH262" s="12"/>
      <c r="BM262" s="12"/>
      <c r="BR262" s="12"/>
      <c r="BS262" s="12"/>
      <c r="BT262" s="12"/>
      <c r="BU262" s="12"/>
      <c r="BV262" s="12"/>
      <c r="BW262" s="12"/>
      <c r="BX262" s="4"/>
      <c r="BY262" s="4"/>
      <c r="BZ262" s="4"/>
      <c r="CA262" s="4"/>
      <c r="CB262" s="4"/>
      <c r="CC262" s="4"/>
      <c r="CD262" s="4"/>
      <c r="CE262" s="4"/>
      <c r="CF262" s="4"/>
      <c r="CG262" s="4"/>
      <c r="CH262" s="4"/>
      <c r="CI262" s="13"/>
    </row>
    <row r="263" spans="1:87" ht="7.5" customHeight="1" thickBot="1">
      <c r="D263" s="101"/>
      <c r="E263" s="640"/>
      <c r="G263" s="9"/>
      <c r="H263" s="102"/>
      <c r="I263" s="107"/>
      <c r="J263" s="9"/>
      <c r="K263" s="108"/>
      <c r="Q263" s="640"/>
      <c r="R263" s="69"/>
      <c r="S263" s="68"/>
      <c r="T263" s="68"/>
      <c r="U263" s="68"/>
      <c r="AA263" s="26"/>
      <c r="AB263" s="26"/>
      <c r="AC263" s="491"/>
      <c r="AD263" s="26"/>
      <c r="AE263" s="634"/>
      <c r="AF263" s="26"/>
      <c r="AG263" s="26"/>
      <c r="AH263" s="26"/>
      <c r="AI263" s="173"/>
      <c r="AJ263" s="173"/>
      <c r="AK263" s="173"/>
      <c r="AL263" s="173"/>
      <c r="AM263" s="173"/>
      <c r="AN263" s="173"/>
      <c r="AO263" s="173"/>
      <c r="AP263" s="173"/>
      <c r="AQ263" s="173"/>
      <c r="AR263" s="173"/>
      <c r="AS263" s="173"/>
      <c r="AT263" s="173"/>
      <c r="AU263" s="173"/>
      <c r="AV263" s="173"/>
      <c r="AW263" s="173"/>
      <c r="AX263" s="12"/>
      <c r="BC263" s="12"/>
      <c r="BH263" s="12"/>
      <c r="BM263" s="12"/>
      <c r="BR263" s="12"/>
      <c r="BS263" s="12"/>
      <c r="BT263" s="12"/>
      <c r="BU263" s="12"/>
      <c r="BV263" s="12"/>
      <c r="BW263" s="12"/>
      <c r="BX263" s="4"/>
      <c r="BY263" s="4"/>
      <c r="BZ263" s="4"/>
      <c r="CA263" s="4"/>
      <c r="CB263" s="4"/>
      <c r="CC263" s="4"/>
      <c r="CD263" s="4"/>
      <c r="CE263" s="4"/>
      <c r="CF263" s="4"/>
      <c r="CG263" s="4"/>
      <c r="CH263" s="4"/>
      <c r="CI263" s="13"/>
    </row>
    <row r="264" spans="1:87" ht="31.5" customHeight="1" thickTop="1" thickBot="1">
      <c r="A264" s="1383">
        <f>CE188</f>
        <v>30000</v>
      </c>
      <c r="B264" s="1383"/>
      <c r="C264" s="1383"/>
      <c r="D264" s="1383"/>
      <c r="F264" s="109"/>
      <c r="G264" s="109"/>
      <c r="H264" s="1583" t="s">
        <v>161</v>
      </c>
      <c r="I264" s="1584"/>
      <c r="J264" s="1584"/>
      <c r="K264" s="1584"/>
      <c r="L264" s="1547">
        <f>IF(ROUNDDOWN(R194+R197+K200+R204+R207+K210+R214+R217+K220+R224+R227+K230+R234+R237+K240+R244+R247+K250+R254+R257+K260,-2)&gt;CG204,CG204,ROUNDDOWN(R194+R197+K200+R204+R207+K210+R214+R217+K220+R224+R227+K230+R234+R237+K240+R244+R247+K250+R254+R257+K260,-2))</f>
        <v>0</v>
      </c>
      <c r="M264" s="1547"/>
      <c r="N264" s="1547"/>
      <c r="O264" s="1547"/>
      <c r="P264" s="1547"/>
      <c r="Q264" s="1547"/>
      <c r="R264" s="1547"/>
      <c r="S264" s="110" t="s">
        <v>6</v>
      </c>
      <c r="T264" s="641"/>
      <c r="U264" s="111"/>
      <c r="AA264" s="26"/>
      <c r="AB264" s="26"/>
      <c r="AC264" s="491"/>
      <c r="AD264" s="26"/>
      <c r="AE264" s="634"/>
      <c r="AF264" s="26"/>
      <c r="AG264" s="26"/>
      <c r="AH264" s="26"/>
      <c r="AI264" s="173"/>
      <c r="AJ264" s="173"/>
      <c r="AK264" s="173"/>
      <c r="AL264" s="173"/>
      <c r="AM264" s="173"/>
      <c r="AN264" s="173"/>
      <c r="AO264" s="173"/>
      <c r="AP264" s="173"/>
      <c r="AQ264" s="173"/>
      <c r="AR264" s="173"/>
      <c r="AS264" s="173"/>
      <c r="AT264" s="173"/>
      <c r="AU264" s="173"/>
      <c r="AV264" s="173"/>
      <c r="AW264" s="173"/>
      <c r="AX264" s="12"/>
      <c r="AY264" s="12"/>
      <c r="AZ264" s="1385"/>
      <c r="BA264" s="1385"/>
      <c r="BB264" s="1385"/>
      <c r="BC264" s="12"/>
      <c r="BD264" s="12"/>
      <c r="BE264" s="1385"/>
      <c r="BF264" s="1385"/>
      <c r="BG264" s="1385"/>
      <c r="BH264" s="12"/>
      <c r="BI264" s="12"/>
      <c r="BJ264" s="1385"/>
      <c r="BK264" s="1385"/>
      <c r="BL264" s="1385"/>
      <c r="BM264" s="12"/>
      <c r="BN264" s="12"/>
      <c r="BO264" s="1385"/>
      <c r="BP264" s="1385"/>
      <c r="BQ264" s="1385"/>
      <c r="BR264" s="12"/>
      <c r="BS264" s="12"/>
      <c r="BT264" s="12"/>
      <c r="BU264" s="12"/>
      <c r="BV264" s="12"/>
      <c r="BW264" s="12"/>
      <c r="BX264" s="4"/>
      <c r="BY264" s="4"/>
      <c r="BZ264" s="4"/>
      <c r="CA264" s="4"/>
      <c r="CB264" s="4"/>
      <c r="CC264" s="4"/>
      <c r="CD264" s="4"/>
      <c r="CE264" s="4"/>
      <c r="CF264" s="4"/>
      <c r="CG264" s="4"/>
      <c r="CH264" s="4"/>
      <c r="CI264" s="13"/>
    </row>
    <row r="265" spans="1:87" ht="16.5" customHeight="1" thickTop="1" thickBot="1">
      <c r="K265" s="1598"/>
      <c r="L265" s="1598"/>
      <c r="M265" s="1598"/>
      <c r="N265" s="1598"/>
      <c r="O265" s="1598"/>
      <c r="P265" s="1598"/>
      <c r="Q265" s="1598"/>
      <c r="R265" s="112" t="s">
        <v>13</v>
      </c>
      <c r="AA265" s="4"/>
      <c r="AB265" s="4"/>
      <c r="AC265" s="492"/>
      <c r="AD265" s="121"/>
      <c r="AE265" s="488"/>
      <c r="AF265" s="121"/>
      <c r="AG265" s="121"/>
      <c r="AH265" s="121"/>
      <c r="AI265" s="226"/>
      <c r="AJ265" s="226"/>
      <c r="AK265" s="226"/>
      <c r="AL265" s="226"/>
      <c r="AM265" s="226"/>
      <c r="AN265" s="226"/>
      <c r="AO265" s="226"/>
      <c r="AP265" s="226"/>
      <c r="AQ265" s="226"/>
      <c r="AR265" s="226"/>
      <c r="AS265" s="226"/>
      <c r="AT265" s="226"/>
      <c r="AU265" s="226"/>
      <c r="AV265" s="226"/>
      <c r="AW265" s="226"/>
      <c r="AX265" s="122"/>
      <c r="AY265" s="121"/>
      <c r="AZ265" s="121"/>
      <c r="BA265" s="193"/>
      <c r="BB265" s="193"/>
      <c r="BC265" s="122"/>
      <c r="BD265" s="121"/>
      <c r="BE265" s="121"/>
      <c r="BF265" s="121"/>
      <c r="BG265" s="121"/>
      <c r="BH265" s="122"/>
      <c r="BI265" s="121"/>
      <c r="BJ265" s="121"/>
      <c r="BK265" s="121"/>
      <c r="BL265" s="121"/>
      <c r="BM265" s="122"/>
      <c r="BN265" s="121"/>
      <c r="BO265" s="121"/>
      <c r="BP265" s="121"/>
      <c r="BQ265" s="121"/>
      <c r="BR265" s="122"/>
      <c r="BS265" s="122"/>
      <c r="BT265" s="122"/>
      <c r="BU265" s="122"/>
      <c r="BV265" s="122"/>
      <c r="BW265" s="122"/>
      <c r="BX265" s="121"/>
      <c r="BY265" s="121"/>
      <c r="BZ265" s="121"/>
      <c r="CA265" s="121"/>
      <c r="CB265" s="121"/>
      <c r="CC265" s="121"/>
      <c r="CD265" s="121"/>
      <c r="CE265" s="121"/>
      <c r="CF265" s="121"/>
      <c r="CG265" s="121"/>
      <c r="CH265" s="121"/>
      <c r="CI265" s="123"/>
    </row>
    <row r="266" spans="1:87" ht="9" customHeight="1">
      <c r="B266" s="113"/>
      <c r="C266" s="113"/>
      <c r="D266" s="113"/>
      <c r="K266" s="70"/>
      <c r="L266" s="70"/>
      <c r="M266" s="70"/>
      <c r="N266" s="114"/>
      <c r="O266" s="114"/>
      <c r="P266" s="70"/>
      <c r="Q266" s="70"/>
      <c r="R266" s="112"/>
      <c r="AC266" s="489"/>
      <c r="AD266" s="4"/>
      <c r="AE266" s="74"/>
      <c r="AF266" s="4"/>
      <c r="AG266" s="4"/>
      <c r="AH266" s="4"/>
      <c r="AI266" s="174"/>
      <c r="AJ266" s="174"/>
      <c r="AK266" s="174"/>
      <c r="AL266" s="174"/>
      <c r="AM266" s="174"/>
      <c r="AN266" s="174"/>
      <c r="AO266" s="174"/>
      <c r="AP266" s="174"/>
      <c r="AQ266" s="174"/>
      <c r="AR266" s="174"/>
      <c r="AS266" s="174"/>
      <c r="AT266" s="174"/>
      <c r="AU266" s="174"/>
      <c r="AV266" s="174"/>
      <c r="AW266" s="174"/>
      <c r="AX266" s="12"/>
      <c r="AY266" s="1428"/>
      <c r="AZ266" s="1428"/>
      <c r="BA266" s="1428"/>
      <c r="BB266" s="1428"/>
      <c r="BC266" s="12"/>
      <c r="BD266" s="1428"/>
      <c r="BE266" s="1428"/>
      <c r="BF266" s="1428"/>
      <c r="BG266" s="1428"/>
      <c r="BH266" s="12"/>
      <c r="BI266" s="1428"/>
      <c r="BJ266" s="1428"/>
      <c r="BK266" s="1428"/>
      <c r="BL266" s="1428"/>
      <c r="BM266" s="12"/>
      <c r="BN266" s="1428"/>
      <c r="BO266" s="1428"/>
      <c r="BP266" s="1428"/>
      <c r="BQ266" s="1428"/>
      <c r="BR266" s="12"/>
      <c r="BS266" s="12"/>
      <c r="BT266" s="12"/>
      <c r="BU266" s="12"/>
      <c r="BV266" s="12"/>
      <c r="BW266" s="12"/>
      <c r="BX266" s="4"/>
      <c r="BY266" s="4"/>
      <c r="BZ266" s="4"/>
      <c r="CA266" s="4"/>
      <c r="CB266" s="4"/>
      <c r="CC266" s="4"/>
      <c r="CD266" s="4"/>
      <c r="CE266" s="4"/>
      <c r="CF266" s="4"/>
      <c r="CG266" s="4"/>
      <c r="CH266" s="4"/>
      <c r="CI266" s="13"/>
    </row>
    <row r="267" spans="1:87" ht="30.75">
      <c r="A267" s="1562">
        <f>A1</f>
        <v>0</v>
      </c>
      <c r="B267" s="1562"/>
      <c r="C267" s="1562"/>
      <c r="D267" s="1562"/>
      <c r="E267" s="1562"/>
      <c r="F267" s="1562"/>
      <c r="G267" s="1562"/>
      <c r="H267" s="1562"/>
      <c r="I267" s="1562"/>
      <c r="J267" s="1562"/>
      <c r="K267" s="1562"/>
      <c r="L267" s="1562"/>
      <c r="M267" s="1562"/>
      <c r="N267" s="1562"/>
      <c r="O267" s="1562"/>
      <c r="P267" s="1562"/>
      <c r="Q267" s="1562"/>
      <c r="R267" s="1562"/>
      <c r="S267" s="1562"/>
      <c r="T267" s="1562"/>
      <c r="U267" s="1562"/>
      <c r="V267" s="1562"/>
      <c r="W267" s="1562"/>
      <c r="X267" s="1565" t="s">
        <v>15</v>
      </c>
      <c r="Y267" s="1565"/>
      <c r="Z267" s="1565"/>
      <c r="AA267" s="73"/>
      <c r="AB267" s="73"/>
      <c r="AC267" s="223"/>
      <c r="AD267" s="73"/>
      <c r="AE267" s="73"/>
      <c r="AF267" s="73"/>
      <c r="AG267" s="73"/>
      <c r="AH267" s="189"/>
      <c r="AI267" s="175"/>
      <c r="AJ267" s="175"/>
      <c r="AK267" s="175"/>
      <c r="AL267" s="175"/>
      <c r="AM267" s="175"/>
      <c r="AN267" s="175"/>
      <c r="AO267" s="175"/>
      <c r="AP267" s="175"/>
      <c r="AQ267" s="175"/>
      <c r="AR267" s="175"/>
      <c r="AS267" s="175"/>
      <c r="AT267" s="175"/>
      <c r="AU267" s="175"/>
      <c r="AV267" s="175"/>
      <c r="AW267" s="175"/>
      <c r="AX267" s="12"/>
      <c r="AY267" s="1428"/>
      <c r="AZ267" s="1428"/>
      <c r="BA267" s="1428"/>
      <c r="BB267" s="1428"/>
      <c r="BC267" s="12"/>
      <c r="BD267" s="1428"/>
      <c r="BE267" s="1428"/>
      <c r="BF267" s="1428"/>
      <c r="BG267" s="1428"/>
      <c r="BH267" s="12"/>
      <c r="BI267" s="1428"/>
      <c r="BJ267" s="1428"/>
      <c r="BK267" s="1428"/>
      <c r="BL267" s="1428"/>
      <c r="BM267" s="12"/>
      <c r="BN267" s="1428"/>
      <c r="BO267" s="1428"/>
      <c r="BP267" s="1428"/>
      <c r="BQ267" s="1428"/>
      <c r="BR267" s="12"/>
      <c r="BS267" s="12"/>
      <c r="BT267" s="12"/>
      <c r="BU267" s="12"/>
      <c r="BV267" s="12"/>
      <c r="BW267" s="12"/>
      <c r="BX267" s="4"/>
      <c r="BY267" s="4"/>
      <c r="BZ267" s="4"/>
      <c r="CA267" s="4"/>
      <c r="CB267" s="4"/>
      <c r="CC267" s="4"/>
      <c r="CD267" s="4"/>
      <c r="CE267" s="4"/>
      <c r="CF267" s="4"/>
      <c r="CG267" s="4"/>
      <c r="CH267" s="4"/>
      <c r="CI267" s="13"/>
    </row>
    <row r="268" spans="1:87" ht="18.75" customHeight="1">
      <c r="A268" s="1397" t="s">
        <v>48</v>
      </c>
      <c r="B268" s="1397"/>
      <c r="C268" s="1397"/>
      <c r="D268" s="1588">
        <f>D2</f>
        <v>0</v>
      </c>
      <c r="E268" s="1588"/>
      <c r="F268" s="1588"/>
      <c r="G268" s="3" t="s">
        <v>22</v>
      </c>
      <c r="T268" s="115"/>
      <c r="U268" s="11"/>
      <c r="V268" s="11"/>
      <c r="AA268" s="26"/>
      <c r="AB268" s="26"/>
      <c r="AC268" s="491"/>
      <c r="AD268" s="26"/>
      <c r="AE268" s="486"/>
      <c r="AF268" s="26"/>
      <c r="AG268" s="26"/>
      <c r="AH268" s="26"/>
      <c r="AI268" s="173"/>
      <c r="AJ268" s="173"/>
      <c r="AK268" s="173"/>
      <c r="AL268" s="173"/>
      <c r="AM268" s="173"/>
      <c r="AN268" s="173"/>
      <c r="AO268" s="173"/>
      <c r="AP268" s="173"/>
      <c r="AQ268" s="173"/>
      <c r="AR268" s="173"/>
      <c r="AS268" s="173"/>
      <c r="AT268" s="173"/>
      <c r="AU268" s="173"/>
      <c r="AV268" s="173"/>
      <c r="AW268" s="173"/>
      <c r="AX268" s="12"/>
      <c r="AZ268" s="57"/>
      <c r="BB268" s="192"/>
      <c r="BC268" s="12"/>
      <c r="BE268" s="57"/>
      <c r="BG268" s="57"/>
      <c r="BH268" s="12"/>
      <c r="BJ268" s="57"/>
      <c r="BL268" s="57"/>
      <c r="BM268" s="12"/>
      <c r="BO268" s="57"/>
      <c r="BQ268" s="57"/>
      <c r="BR268" s="12"/>
      <c r="BS268" s="12"/>
      <c r="BT268" s="12"/>
      <c r="BU268" s="12"/>
      <c r="BV268" s="12"/>
      <c r="BW268" s="12"/>
      <c r="BX268" s="4"/>
      <c r="BY268" s="4"/>
      <c r="BZ268" s="4"/>
      <c r="CA268" s="4"/>
      <c r="CB268" s="4"/>
      <c r="CC268" s="4"/>
      <c r="CD268" s="4"/>
      <c r="CE268" s="4"/>
      <c r="CF268" s="4"/>
      <c r="CG268" s="4"/>
      <c r="CH268" s="4"/>
      <c r="CI268" s="13"/>
    </row>
    <row r="269" spans="1:87" ht="18.75" customHeight="1">
      <c r="A269" s="1514" t="s">
        <v>3</v>
      </c>
      <c r="B269" s="1514"/>
      <c r="C269" s="1514"/>
      <c r="D269" s="130"/>
      <c r="E269" s="130"/>
      <c r="F269" s="130"/>
      <c r="G269" s="130"/>
      <c r="H269" s="130"/>
      <c r="I269" s="130"/>
      <c r="J269" s="130"/>
      <c r="K269" s="130"/>
      <c r="L269" s="130"/>
      <c r="M269" s="130"/>
      <c r="N269" s="130"/>
      <c r="O269" s="130"/>
      <c r="P269" s="130"/>
      <c r="Q269" s="130"/>
      <c r="R269" s="130"/>
      <c r="S269" s="130"/>
      <c r="T269" s="130"/>
      <c r="U269" s="130"/>
      <c r="V269" s="197"/>
      <c r="W269" s="1538" t="s">
        <v>68</v>
      </c>
      <c r="X269" s="1539"/>
      <c r="Y269" s="1539"/>
      <c r="Z269" s="1540"/>
      <c r="AA269" s="26"/>
      <c r="AB269" s="26"/>
      <c r="AC269" s="491"/>
      <c r="AD269" s="26"/>
      <c r="AE269" s="486"/>
      <c r="AF269" s="187"/>
      <c r="AG269" s="26"/>
      <c r="AH269" s="26"/>
      <c r="AI269" s="173"/>
      <c r="AJ269" s="173"/>
      <c r="AK269" s="173"/>
      <c r="AL269" s="173"/>
      <c r="AM269" s="173"/>
      <c r="AN269" s="173"/>
      <c r="AO269" s="173"/>
      <c r="AP269" s="173"/>
      <c r="AQ269" s="173"/>
      <c r="AR269" s="173"/>
      <c r="AS269" s="173"/>
      <c r="AT269" s="173"/>
      <c r="AU269" s="173"/>
      <c r="AV269" s="173"/>
      <c r="AW269" s="173"/>
      <c r="AX269" s="12"/>
      <c r="AZ269" s="57"/>
      <c r="BB269" s="192"/>
      <c r="BC269" s="12"/>
      <c r="BE269" s="57"/>
      <c r="BG269" s="57"/>
      <c r="BH269" s="12"/>
      <c r="BJ269" s="57"/>
      <c r="BL269" s="57"/>
      <c r="BM269" s="12"/>
      <c r="BO269" s="57"/>
      <c r="BQ269" s="57"/>
      <c r="BR269" s="12"/>
      <c r="BS269" s="12"/>
      <c r="BT269" s="12"/>
      <c r="BU269" s="12"/>
      <c r="BV269" s="12"/>
      <c r="BW269" s="12"/>
      <c r="BX269" s="4"/>
      <c r="BY269" s="4"/>
      <c r="BZ269" s="4"/>
      <c r="CA269" s="4"/>
      <c r="CB269" s="4"/>
      <c r="CC269" s="4"/>
      <c r="CD269" s="4"/>
      <c r="CE269" s="4"/>
      <c r="CF269" s="4"/>
      <c r="CG269" s="4"/>
      <c r="CH269" s="4"/>
      <c r="CI269" s="13"/>
    </row>
    <row r="270" spans="1:87" ht="18.75" customHeight="1">
      <c r="A270" s="1514"/>
      <c r="B270" s="1514"/>
      <c r="C270" s="1514"/>
      <c r="W270" s="1541"/>
      <c r="X270" s="1542"/>
      <c r="Y270" s="1542"/>
      <c r="Z270" s="1543"/>
      <c r="AA270" s="26"/>
      <c r="AB270" s="26"/>
      <c r="AC270" s="491"/>
      <c r="AD270" s="26"/>
      <c r="AE270" s="486"/>
      <c r="AF270" s="238" t="s">
        <v>18</v>
      </c>
      <c r="AG270" s="1569" t="s">
        <v>140</v>
      </c>
      <c r="AH270" s="26"/>
      <c r="AI270" s="173"/>
      <c r="AJ270" s="173"/>
      <c r="AK270" s="173"/>
      <c r="AL270" s="173"/>
      <c r="AM270" s="173"/>
      <c r="AN270" s="173"/>
      <c r="AO270" s="173"/>
      <c r="AP270" s="173"/>
      <c r="AQ270" s="173"/>
      <c r="AR270" s="173"/>
      <c r="AS270" s="173"/>
      <c r="AT270" s="173"/>
      <c r="AU270" s="173"/>
      <c r="AV270" s="173"/>
      <c r="AW270" s="173"/>
      <c r="AX270" s="12"/>
      <c r="AZ270" s="57"/>
      <c r="BB270" s="192"/>
      <c r="BC270" s="12"/>
      <c r="BE270" s="57"/>
      <c r="BG270" s="57"/>
      <c r="BH270" s="12"/>
      <c r="BJ270" s="57"/>
      <c r="BL270" s="57"/>
      <c r="BM270" s="12"/>
      <c r="BO270" s="57"/>
      <c r="BQ270" s="57"/>
      <c r="BR270" s="12"/>
      <c r="BS270" s="12"/>
      <c r="BT270" s="12"/>
      <c r="BU270" s="12"/>
      <c r="BV270" s="12"/>
      <c r="BW270" s="12"/>
      <c r="BX270" s="4"/>
      <c r="BY270" s="4"/>
      <c r="BZ270" s="4"/>
      <c r="CA270" s="4"/>
      <c r="CB270" s="4"/>
      <c r="CC270" s="4"/>
      <c r="CD270" s="4"/>
      <c r="CE270" s="4"/>
      <c r="CF270" s="4"/>
      <c r="CG270" s="4"/>
      <c r="CH270" s="4"/>
      <c r="CI270" s="13"/>
    </row>
    <row r="271" spans="1:87" ht="23.25" customHeight="1">
      <c r="B271" s="17"/>
      <c r="C271" s="17"/>
      <c r="D271" s="116">
        <f>D5</f>
        <v>7</v>
      </c>
      <c r="E271" s="1518" t="s">
        <v>23</v>
      </c>
      <c r="F271" s="1519"/>
      <c r="K271" s="18"/>
      <c r="R271" s="19" t="s">
        <v>28</v>
      </c>
      <c r="S271" s="20">
        <f>H286+H296+H306+H316+H326+H336+H346</f>
        <v>0</v>
      </c>
      <c r="T271" s="21" t="s">
        <v>4</v>
      </c>
      <c r="W271" s="22" t="s">
        <v>34</v>
      </c>
      <c r="X271" s="23">
        <f>IF($AH$13&gt;0,0,CP66)</f>
        <v>0</v>
      </c>
      <c r="Y271" s="24" t="s">
        <v>39</v>
      </c>
      <c r="Z271" s="25">
        <f>IF($AH$13&gt;0,0,CP72)</f>
        <v>0</v>
      </c>
      <c r="AA271" s="26"/>
      <c r="AB271" s="26"/>
      <c r="AC271" s="502" t="s">
        <v>34</v>
      </c>
      <c r="AD271" s="506" t="str">
        <f t="shared" ref="AD271:AD276" si="180">AK288</f>
        <v>OK</v>
      </c>
      <c r="AE271" s="486"/>
      <c r="AF271" s="239">
        <f>CE276</f>
        <v>170000</v>
      </c>
      <c r="AG271" s="1570"/>
      <c r="AH271" s="26"/>
      <c r="AI271" s="173"/>
      <c r="AJ271" s="173"/>
      <c r="AK271" s="173"/>
      <c r="AL271" s="173"/>
      <c r="AM271" s="173"/>
      <c r="AN271" s="173"/>
      <c r="AO271" s="173"/>
      <c r="AP271" s="173"/>
      <c r="AQ271" s="173"/>
      <c r="AR271" s="173"/>
      <c r="AS271" s="173"/>
      <c r="AT271" s="173"/>
      <c r="AU271" s="173"/>
      <c r="AV271" s="173"/>
      <c r="AW271" s="173"/>
      <c r="AX271" s="12"/>
      <c r="AZ271" s="57"/>
      <c r="BB271" s="192"/>
      <c r="BC271" s="12"/>
      <c r="BE271" s="57"/>
      <c r="BG271" s="57"/>
      <c r="BH271" s="12"/>
      <c r="BJ271" s="57"/>
      <c r="BL271" s="57"/>
      <c r="BM271" s="12"/>
      <c r="BO271" s="57"/>
      <c r="BQ271" s="57"/>
      <c r="BR271" s="12"/>
      <c r="BS271" s="12"/>
      <c r="BT271" s="12"/>
      <c r="BU271" s="12"/>
      <c r="BV271" s="12"/>
      <c r="BW271" s="12"/>
      <c r="BX271" s="4"/>
      <c r="BY271" s="4"/>
      <c r="BZ271" s="4"/>
      <c r="CA271" s="4"/>
      <c r="CB271" s="4"/>
      <c r="CC271" s="4"/>
      <c r="CD271" s="190" t="s">
        <v>20</v>
      </c>
      <c r="CE271" s="190"/>
      <c r="CF271" s="190"/>
      <c r="CG271" s="190"/>
      <c r="CH271" s="190"/>
      <c r="CI271" s="13"/>
    </row>
    <row r="272" spans="1:87" ht="23.25" customHeight="1">
      <c r="A272" s="1589">
        <f>'合計（印刷）'!B2</f>
        <v>0</v>
      </c>
      <c r="B272" s="1589"/>
      <c r="C272" s="1589"/>
      <c r="D272" s="1589"/>
      <c r="E272" s="1589"/>
      <c r="F272" s="1589"/>
      <c r="G272" s="1589"/>
      <c r="H272" s="1589"/>
      <c r="I272" s="1589"/>
      <c r="J272" s="1589"/>
      <c r="K272" s="1589"/>
      <c r="L272" s="1589"/>
      <c r="M272" s="1589"/>
      <c r="N272" s="1589"/>
      <c r="O272" s="1589"/>
      <c r="P272" s="1589"/>
      <c r="Q272" s="1589"/>
      <c r="R272" s="1589"/>
      <c r="S272" s="1589"/>
      <c r="T272" s="1589"/>
      <c r="U272" s="1589"/>
      <c r="V272" s="1590"/>
      <c r="W272" s="28" t="s">
        <v>35</v>
      </c>
      <c r="X272" s="29">
        <f t="shared" ref="X272:X276" si="181">IF($AH$13&gt;0,0,CP67)</f>
        <v>0</v>
      </c>
      <c r="Y272" s="30" t="s">
        <v>40</v>
      </c>
      <c r="Z272" s="31">
        <f>IF($AH$13&gt;0,0,CP73)</f>
        <v>0</v>
      </c>
      <c r="AA272" s="26"/>
      <c r="AB272" s="26"/>
      <c r="AC272" s="503" t="s">
        <v>35</v>
      </c>
      <c r="AD272" s="507" t="str">
        <f t="shared" si="180"/>
        <v>OK</v>
      </c>
      <c r="AE272" s="486"/>
      <c r="AF272" s="237" t="s">
        <v>44</v>
      </c>
      <c r="AG272" s="1571">
        <f>IF(AF271&gt;=AF273,0,1)</f>
        <v>0</v>
      </c>
      <c r="AH272" s="26"/>
      <c r="AI272" s="173"/>
      <c r="AJ272" s="173"/>
      <c r="AK272" s="173"/>
      <c r="AL272" s="173"/>
      <c r="AM272" s="173"/>
      <c r="AN272" s="173"/>
      <c r="AO272" s="173"/>
      <c r="AP272" s="173"/>
      <c r="AQ272" s="173"/>
      <c r="AR272" s="173"/>
      <c r="AS272" s="173"/>
      <c r="AT272" s="173"/>
      <c r="AU272" s="173"/>
      <c r="AV272" s="173"/>
      <c r="AW272" s="173"/>
      <c r="AX272" s="12"/>
      <c r="AZ272" s="57"/>
      <c r="BB272" s="192"/>
      <c r="BC272" s="12"/>
      <c r="BE272" s="57"/>
      <c r="BG272" s="57"/>
      <c r="BH272" s="12"/>
      <c r="BJ272" s="57"/>
      <c r="BL272" s="57"/>
      <c r="BM272" s="12"/>
      <c r="BO272" s="57"/>
      <c r="BQ272" s="57"/>
      <c r="BR272" s="12"/>
      <c r="BS272" s="12"/>
      <c r="BT272" s="12"/>
      <c r="BU272" s="12"/>
      <c r="BV272" s="12"/>
      <c r="BW272" s="12"/>
      <c r="BX272" s="4"/>
      <c r="BY272" s="4"/>
      <c r="BZ272" s="4"/>
      <c r="CA272" s="4"/>
      <c r="CB272" s="4"/>
      <c r="CC272" s="4"/>
      <c r="CD272" s="34"/>
      <c r="CE272" s="35" t="s">
        <v>19</v>
      </c>
      <c r="CF272" s="117">
        <v>7</v>
      </c>
      <c r="CG272" s="117">
        <v>5</v>
      </c>
      <c r="CH272" s="117">
        <v>2</v>
      </c>
      <c r="CI272" s="13"/>
    </row>
    <row r="273" spans="1:87" ht="23.25" customHeight="1">
      <c r="A273" s="37"/>
      <c r="B273" s="38"/>
      <c r="C273" s="38"/>
      <c r="D273" s="38"/>
      <c r="E273" s="38"/>
      <c r="F273" s="38"/>
      <c r="G273" s="38"/>
      <c r="H273" s="39"/>
      <c r="I273" s="38"/>
      <c r="J273" s="38"/>
      <c r="K273" s="40" t="s">
        <v>9</v>
      </c>
      <c r="L273" s="38"/>
      <c r="M273" s="38"/>
      <c r="N273" s="41"/>
      <c r="O273" s="166"/>
      <c r="P273" s="167"/>
      <c r="Q273" s="38"/>
      <c r="R273" s="38"/>
      <c r="S273" s="38"/>
      <c r="T273" s="38"/>
      <c r="U273" s="38"/>
      <c r="V273" s="141"/>
      <c r="W273" s="28" t="s">
        <v>36</v>
      </c>
      <c r="X273" s="29">
        <f>IF($AH$13&gt;0,0,CP68)</f>
        <v>0</v>
      </c>
      <c r="Y273" s="30" t="s">
        <v>41</v>
      </c>
      <c r="Z273" s="31">
        <f>IF($AH$13&gt;0,0,CP74)</f>
        <v>0</v>
      </c>
      <c r="AA273" s="4"/>
      <c r="AB273" s="4"/>
      <c r="AC273" s="503" t="s">
        <v>36</v>
      </c>
      <c r="AD273" s="507" t="str">
        <f t="shared" si="180"/>
        <v>OK</v>
      </c>
      <c r="AE273" s="74"/>
      <c r="AF273" s="45">
        <f>AF276+AF282+AF292+AF302+AF312+AF322+AF332+AF342</f>
        <v>4270</v>
      </c>
      <c r="AG273" s="1572"/>
      <c r="AH273" s="4"/>
      <c r="AI273" s="174"/>
      <c r="AJ273" s="174"/>
      <c r="AK273" s="174"/>
      <c r="AL273" s="174"/>
      <c r="AM273" s="174"/>
      <c r="AN273" s="174"/>
      <c r="AO273" s="174"/>
      <c r="AP273" s="174"/>
      <c r="AQ273" s="174"/>
      <c r="AR273" s="174"/>
      <c r="AS273" s="174"/>
      <c r="AT273" s="174"/>
      <c r="AU273" s="174"/>
      <c r="AV273" s="174"/>
      <c r="AW273" s="174"/>
      <c r="AX273" s="12"/>
      <c r="AZ273" s="57"/>
      <c r="BB273" s="192"/>
      <c r="BC273" s="12"/>
      <c r="BE273" s="57"/>
      <c r="BG273" s="57"/>
      <c r="BH273" s="12"/>
      <c r="BJ273" s="57"/>
      <c r="BL273" s="57"/>
      <c r="BM273" s="12"/>
      <c r="BO273" s="57"/>
      <c r="BQ273" s="57"/>
      <c r="BR273" s="12"/>
      <c r="BS273" s="12"/>
      <c r="BT273" s="12"/>
      <c r="BU273" s="12"/>
      <c r="BV273" s="12"/>
      <c r="BW273" s="12"/>
      <c r="BX273" s="4"/>
      <c r="BY273" s="4"/>
      <c r="BZ273" s="4"/>
      <c r="CA273" s="4"/>
      <c r="CB273" s="4"/>
      <c r="CC273" s="4"/>
      <c r="CD273" s="46" t="s">
        <v>0</v>
      </c>
      <c r="CE273" s="47">
        <f>入力画面!E91</f>
        <v>2.69</v>
      </c>
      <c r="CF273" s="48"/>
      <c r="CG273" s="48"/>
      <c r="CH273" s="48"/>
      <c r="CI273" s="13"/>
    </row>
    <row r="274" spans="1:87" ht="23.25" customHeight="1">
      <c r="A274" s="1384" t="s">
        <v>1</v>
      </c>
      <c r="B274" s="1385"/>
      <c r="C274" s="1010" t="s">
        <v>107</v>
      </c>
      <c r="D274" s="1379" t="s">
        <v>121</v>
      </c>
      <c r="E274" s="1382">
        <f>IF(S271&gt;0,CE275,0)</f>
        <v>0</v>
      </c>
      <c r="F274" s="1382"/>
      <c r="G274" s="1382"/>
      <c r="H274" s="1010" t="s">
        <v>109</v>
      </c>
      <c r="I274" s="12"/>
      <c r="J274" s="1010" t="s">
        <v>59</v>
      </c>
      <c r="K274" s="51">
        <f>MAX(BV347:BV353)</f>
        <v>0</v>
      </c>
      <c r="L274" s="52" t="s">
        <v>5</v>
      </c>
      <c r="M274" s="1395" t="s">
        <v>122</v>
      </c>
      <c r="N274" s="1392" t="s">
        <v>14</v>
      </c>
      <c r="O274" s="1525">
        <f>E274*K274/K275</f>
        <v>0</v>
      </c>
      <c r="P274" s="1525"/>
      <c r="Q274" s="1524" t="s">
        <v>6</v>
      </c>
      <c r="R274" s="1391"/>
      <c r="S274" s="1524"/>
      <c r="T274" s="49"/>
      <c r="U274" s="49"/>
      <c r="V274" s="53"/>
      <c r="W274" s="28" t="s">
        <v>43</v>
      </c>
      <c r="X274" s="29">
        <f t="shared" si="181"/>
        <v>0</v>
      </c>
      <c r="Y274" s="30" t="s">
        <v>42</v>
      </c>
      <c r="Z274" s="31">
        <f>IF($AH$13&gt;0,0,CP75)</f>
        <v>0</v>
      </c>
      <c r="AC274" s="503" t="s">
        <v>43</v>
      </c>
      <c r="AD274" s="507" t="str">
        <f t="shared" si="180"/>
        <v>OK</v>
      </c>
      <c r="AE274" s="494">
        <f>IF(AG272&gt;0,"限度超過",U286+U296+U306+U316+U326+U346)</f>
        <v>0</v>
      </c>
      <c r="AF274" s="470"/>
      <c r="AG274" s="26"/>
      <c r="AH274" s="4"/>
      <c r="AI274" s="174"/>
      <c r="AJ274" s="174"/>
      <c r="AK274" s="174"/>
      <c r="AL274" s="174"/>
      <c r="AM274" s="174"/>
      <c r="AN274" s="174"/>
      <c r="AO274" s="174"/>
      <c r="AP274" s="174"/>
      <c r="AQ274" s="174"/>
      <c r="AR274" s="174"/>
      <c r="AS274" s="174"/>
      <c r="AT274" s="174"/>
      <c r="AU274" s="174"/>
      <c r="AV274" s="174"/>
      <c r="AW274" s="174"/>
      <c r="AX274" s="12"/>
      <c r="AZ274" s="57"/>
      <c r="BB274" s="192"/>
      <c r="BC274" s="12"/>
      <c r="BE274" s="57"/>
      <c r="BG274" s="57"/>
      <c r="BH274" s="12"/>
      <c r="BJ274" s="57"/>
      <c r="BL274" s="57"/>
      <c r="BM274" s="12"/>
      <c r="BO274" s="57"/>
      <c r="BQ274" s="57"/>
      <c r="BR274" s="12"/>
      <c r="BS274" s="12"/>
      <c r="BT274" s="12"/>
      <c r="BU274" s="12"/>
      <c r="BV274" s="12"/>
      <c r="BW274" s="12"/>
      <c r="BX274" s="4"/>
      <c r="BY274" s="4"/>
      <c r="BZ274" s="4"/>
      <c r="CA274" s="4"/>
      <c r="CB274" s="4"/>
      <c r="CC274" s="4"/>
      <c r="CD274" s="46" t="s">
        <v>17</v>
      </c>
      <c r="CE274" s="54">
        <f>入力画面!E92</f>
        <v>7760</v>
      </c>
      <c r="CF274" s="54">
        <f>ROUNDUP(CE274*CF272/10,-1)</f>
        <v>5440</v>
      </c>
      <c r="CG274" s="54">
        <f>ROUNDUP(CE274*CG272/10,-1)</f>
        <v>3880</v>
      </c>
      <c r="CH274" s="54">
        <f>ROUNDUP(CE274*CH272/10,-1)</f>
        <v>1560</v>
      </c>
      <c r="CI274" s="13"/>
    </row>
    <row r="275" spans="1:87" ht="23.25" customHeight="1">
      <c r="A275" s="1384"/>
      <c r="B275" s="1385"/>
      <c r="C275" s="1010"/>
      <c r="D275" s="1379"/>
      <c r="E275" s="1382"/>
      <c r="F275" s="1382"/>
      <c r="G275" s="1382"/>
      <c r="H275" s="1010"/>
      <c r="I275" s="12"/>
      <c r="J275" s="1010"/>
      <c r="K275" s="55">
        <v>12</v>
      </c>
      <c r="L275" s="12" t="s">
        <v>5</v>
      </c>
      <c r="M275" s="1395"/>
      <c r="N275" s="1392"/>
      <c r="O275" s="1525"/>
      <c r="P275" s="1525"/>
      <c r="Q275" s="1524"/>
      <c r="R275" s="1391"/>
      <c r="S275" s="1524"/>
      <c r="T275" s="49" t="s">
        <v>113</v>
      </c>
      <c r="U275" s="49"/>
      <c r="V275" s="53"/>
      <c r="W275" s="28" t="s">
        <v>37</v>
      </c>
      <c r="X275" s="29">
        <f t="shared" si="181"/>
        <v>0</v>
      </c>
      <c r="Y275" s="1557" t="s">
        <v>44</v>
      </c>
      <c r="Z275" s="1420">
        <f>IF($AH$13&gt;0,0,X271+X272+X273+X274+X275+X276+Z271+Z272+Z273+Z274)</f>
        <v>0</v>
      </c>
      <c r="AA275" s="73"/>
      <c r="AB275" s="73"/>
      <c r="AC275" s="503" t="s">
        <v>37</v>
      </c>
      <c r="AD275" s="507" t="str">
        <f t="shared" si="180"/>
        <v>OK</v>
      </c>
      <c r="AE275" s="495" t="str">
        <f>IF(AG272&gt;0,"限度超過",IF(Z275=AE274,"OK","エラー"))</f>
        <v>OK</v>
      </c>
      <c r="AF275" s="493"/>
      <c r="AG275" s="26"/>
      <c r="AH275" s="189"/>
      <c r="AI275" s="175"/>
      <c r="AJ275" s="175"/>
      <c r="AK275" s="175"/>
      <c r="AL275" s="175"/>
      <c r="AM275" s="175"/>
      <c r="AN275" s="175"/>
      <c r="AO275" s="175"/>
      <c r="AP275" s="175"/>
      <c r="AQ275" s="175"/>
      <c r="AR275" s="175"/>
      <c r="AS275" s="175"/>
      <c r="AT275" s="175"/>
      <c r="AU275" s="175"/>
      <c r="AV275" s="175"/>
      <c r="AW275" s="175"/>
      <c r="AX275" s="12"/>
      <c r="AZ275" s="57"/>
      <c r="BB275" s="192"/>
      <c r="BC275" s="12"/>
      <c r="BE275" s="57"/>
      <c r="BG275" s="57"/>
      <c r="BH275" s="12"/>
      <c r="BJ275" s="57"/>
      <c r="BL275" s="57"/>
      <c r="BM275" s="12"/>
      <c r="BO275" s="57"/>
      <c r="BQ275" s="57"/>
      <c r="BR275" s="12"/>
      <c r="BS275" s="12"/>
      <c r="BT275" s="12"/>
      <c r="BU275" s="12"/>
      <c r="BV275" s="12"/>
      <c r="BW275" s="12"/>
      <c r="BX275" s="4"/>
      <c r="BY275" s="4"/>
      <c r="BZ275" s="4"/>
      <c r="CA275" s="4"/>
      <c r="CB275" s="4"/>
      <c r="CC275" s="4"/>
      <c r="CD275" s="46" t="s">
        <v>1</v>
      </c>
      <c r="CE275" s="54">
        <f>入力画面!E93</f>
        <v>6100</v>
      </c>
      <c r="CF275" s="54">
        <f>ROUNDUP(CE275*CF272/10,-1)</f>
        <v>4270</v>
      </c>
      <c r="CG275" s="54">
        <f>ROUNDUP(CE275*CG272/10,-1)</f>
        <v>3050</v>
      </c>
      <c r="CH275" s="54">
        <f>ROUNDUP(CE275*CH272/10,-1)</f>
        <v>1220</v>
      </c>
      <c r="CI275" s="13"/>
    </row>
    <row r="276" spans="1:87" ht="23.25" customHeight="1">
      <c r="A276" s="165"/>
      <c r="B276" s="12"/>
      <c r="C276" s="12"/>
      <c r="D276" s="12"/>
      <c r="E276" s="12"/>
      <c r="F276" s="12"/>
      <c r="G276" s="12"/>
      <c r="H276" s="50"/>
      <c r="I276" s="12"/>
      <c r="J276" s="12"/>
      <c r="K276" s="76" t="s">
        <v>9</v>
      </c>
      <c r="L276" s="12"/>
      <c r="M276" s="12"/>
      <c r="N276" s="94"/>
      <c r="O276" s="42"/>
      <c r="P276" s="43"/>
      <c r="Q276" s="12"/>
      <c r="R276" s="12"/>
      <c r="S276" s="12" t="s">
        <v>116</v>
      </c>
      <c r="T276" s="161">
        <f>O274-O277</f>
        <v>0</v>
      </c>
      <c r="U276" s="12" t="s">
        <v>6</v>
      </c>
      <c r="V276" s="12"/>
      <c r="W276" s="65" t="s">
        <v>38</v>
      </c>
      <c r="X276" s="29">
        <f t="shared" si="181"/>
        <v>0</v>
      </c>
      <c r="Y276" s="1558"/>
      <c r="Z276" s="1559"/>
      <c r="AA276" s="26"/>
      <c r="AB276" s="26"/>
      <c r="AC276" s="503" t="s">
        <v>38</v>
      </c>
      <c r="AD276" s="507" t="str">
        <f t="shared" si="180"/>
        <v>OK</v>
      </c>
      <c r="AE276" s="494">
        <f>IF(AH13&gt;0,0,L353)</f>
        <v>0</v>
      </c>
      <c r="AF276" s="471">
        <f>E274+E277</f>
        <v>4270</v>
      </c>
      <c r="AG276" s="4"/>
      <c r="AH276" s="26"/>
      <c r="AI276" s="173"/>
      <c r="AJ276" s="173"/>
      <c r="AK276" s="173"/>
      <c r="AL276" s="173"/>
      <c r="AM276" s="173"/>
      <c r="AN276" s="173"/>
      <c r="AO276" s="173"/>
      <c r="AP276" s="173"/>
      <c r="AQ276" s="173"/>
      <c r="AR276" s="173"/>
      <c r="AS276" s="173"/>
      <c r="AT276" s="173"/>
      <c r="AU276" s="173"/>
      <c r="AV276" s="173"/>
      <c r="AW276" s="173"/>
      <c r="AX276" s="12"/>
      <c r="AY276" s="1468" t="s">
        <v>264</v>
      </c>
      <c r="AZ276" s="1469"/>
      <c r="BA276" s="1470"/>
      <c r="BB276" s="462">
        <f>IF(AG272&gt;0,"限度超過",BB286+BB296+BB306+BB316+BB326+BB336+BB346)</f>
        <v>0</v>
      </c>
      <c r="BC276" s="12"/>
      <c r="BE276" s="57"/>
      <c r="BG276" s="57"/>
      <c r="BH276" s="12"/>
      <c r="BJ276" s="57"/>
      <c r="BL276" s="57"/>
      <c r="BM276" s="12"/>
      <c r="BO276" s="57"/>
      <c r="BQ276" s="57"/>
      <c r="BR276" s="12"/>
      <c r="BS276" s="12"/>
      <c r="BT276" s="12"/>
      <c r="BU276" s="12"/>
      <c r="BV276" s="12"/>
      <c r="BW276" s="12"/>
      <c r="BX276" s="4"/>
      <c r="BY276" s="4"/>
      <c r="BZ276" s="4"/>
      <c r="CA276" s="4"/>
      <c r="CB276" s="4"/>
      <c r="CC276" s="4"/>
      <c r="CD276" s="46" t="s">
        <v>18</v>
      </c>
      <c r="CE276" s="54">
        <f>入力画面!E94</f>
        <v>170000</v>
      </c>
      <c r="CF276" s="48"/>
      <c r="CG276" s="48"/>
      <c r="CH276" s="48"/>
      <c r="CI276" s="13"/>
    </row>
    <row r="277" spans="1:87" ht="18.75" customHeight="1">
      <c r="A277" s="1384"/>
      <c r="B277" s="1385"/>
      <c r="C277" s="1010" t="s">
        <v>24</v>
      </c>
      <c r="D277" s="1379" t="s">
        <v>123</v>
      </c>
      <c r="E277" s="1382">
        <f>IF(D271=0,0,IF(D271=7,CF275,IF(D271=5,CG275,IF(D271=2,CH275,"軽減誤り"))))</f>
        <v>4270</v>
      </c>
      <c r="F277" s="1382"/>
      <c r="G277" s="1382"/>
      <c r="H277" s="1010" t="s">
        <v>109</v>
      </c>
      <c r="I277" s="12"/>
      <c r="J277" s="1010" t="s">
        <v>59</v>
      </c>
      <c r="K277" s="51">
        <f>MAX(BV347:BV353)</f>
        <v>0</v>
      </c>
      <c r="L277" s="52" t="s">
        <v>5</v>
      </c>
      <c r="M277" s="1395" t="s">
        <v>122</v>
      </c>
      <c r="N277" s="1392" t="s">
        <v>14</v>
      </c>
      <c r="O277" s="1525">
        <f>E277*K277/K278</f>
        <v>0</v>
      </c>
      <c r="P277" s="1525"/>
      <c r="Q277" s="1524" t="s">
        <v>6</v>
      </c>
      <c r="R277" s="12"/>
      <c r="S277" s="12"/>
      <c r="T277" s="49"/>
      <c r="U277" s="49"/>
      <c r="V277" s="12"/>
      <c r="W277" s="1573" t="s">
        <v>120</v>
      </c>
      <c r="X277" s="1574"/>
      <c r="Y277" s="1575">
        <f>IF(Z275=0,0,Z275/K274)</f>
        <v>0</v>
      </c>
      <c r="Z277" s="1576"/>
      <c r="AA277" s="4"/>
      <c r="AB277" s="4"/>
      <c r="AC277" s="503" t="s">
        <v>39</v>
      </c>
      <c r="AD277" s="505" t="str">
        <f>AM288</f>
        <v>OK</v>
      </c>
      <c r="AE277" s="495" t="str">
        <f>IF(Z275=AE276,"OK","エラー")</f>
        <v>OK</v>
      </c>
      <c r="AF277" s="472"/>
      <c r="AG277" s="4"/>
      <c r="AH277" s="4" t="s">
        <v>166</v>
      </c>
      <c r="AI277" s="173"/>
      <c r="AJ277" s="173"/>
      <c r="AK277" s="173"/>
      <c r="AL277" s="173"/>
      <c r="AM277" s="173"/>
      <c r="AN277" s="173"/>
      <c r="AO277" s="173"/>
      <c r="AP277" s="173"/>
      <c r="AQ277" s="173"/>
      <c r="AR277" s="173"/>
      <c r="AS277" s="173"/>
      <c r="AT277" s="173"/>
      <c r="AU277" s="173"/>
      <c r="AV277" s="173"/>
      <c r="AW277" s="173"/>
      <c r="AX277" s="12"/>
      <c r="AY277" s="143"/>
      <c r="AZ277" s="57"/>
      <c r="BB277" s="1471" t="s">
        <v>265</v>
      </c>
      <c r="BC277" s="12"/>
      <c r="BE277" s="57"/>
      <c r="BG277" s="57"/>
      <c r="BH277" s="12"/>
      <c r="BJ277" s="57"/>
      <c r="BL277" s="57"/>
      <c r="BM277" s="12"/>
      <c r="BO277" s="57"/>
      <c r="BQ277" s="57"/>
      <c r="BR277" s="12"/>
      <c r="BS277" s="12"/>
      <c r="BT277" s="12"/>
      <c r="BU277" s="12"/>
      <c r="BV277" s="12"/>
      <c r="BW277" s="12"/>
      <c r="BX277" s="4"/>
      <c r="BY277" s="4"/>
      <c r="BZ277" s="4"/>
      <c r="CA277" s="4"/>
      <c r="CB277" s="4"/>
      <c r="CC277" s="4"/>
      <c r="CD277" s="35" t="s">
        <v>21</v>
      </c>
      <c r="CE277" s="54">
        <f>入力画面!E95</f>
        <v>430000</v>
      </c>
      <c r="CF277" s="48"/>
      <c r="CG277" s="48"/>
      <c r="CH277" s="48"/>
      <c r="CI277" s="13"/>
    </row>
    <row r="278" spans="1:87" ht="18.75" customHeight="1" thickBot="1">
      <c r="A278" s="1384"/>
      <c r="B278" s="1385"/>
      <c r="C278" s="1010"/>
      <c r="D278" s="1379"/>
      <c r="E278" s="1382"/>
      <c r="F278" s="1382"/>
      <c r="G278" s="1382"/>
      <c r="H278" s="1010"/>
      <c r="I278" s="12"/>
      <c r="J278" s="1010"/>
      <c r="K278" s="55">
        <v>12</v>
      </c>
      <c r="L278" s="12" t="s">
        <v>5</v>
      </c>
      <c r="M278" s="1395"/>
      <c r="N278" s="1392"/>
      <c r="O278" s="1525"/>
      <c r="P278" s="1525"/>
      <c r="Q278" s="1524"/>
      <c r="R278" s="74"/>
      <c r="S278" s="12"/>
      <c r="T278" s="49" t="s">
        <v>114</v>
      </c>
      <c r="U278" s="49"/>
      <c r="V278" s="75" t="s">
        <v>118</v>
      </c>
      <c r="W278" s="4"/>
      <c r="X278" s="26"/>
      <c r="Y278" s="74"/>
      <c r="Z278" s="185"/>
      <c r="AA278" s="4"/>
      <c r="AB278" s="4"/>
      <c r="AC278" s="503" t="s">
        <v>40</v>
      </c>
      <c r="AD278" s="505" t="str">
        <f>AM289</f>
        <v>OK</v>
      </c>
      <c r="AE278" s="74"/>
      <c r="AF278" s="229"/>
      <c r="AG278" s="4"/>
      <c r="AH278" s="158" t="s">
        <v>117</v>
      </c>
      <c r="AI278" s="173"/>
      <c r="AJ278" s="173"/>
      <c r="AK278" s="173"/>
      <c r="AL278" s="173"/>
      <c r="AM278" s="173"/>
      <c r="AN278" s="173"/>
      <c r="AO278" s="173"/>
      <c r="AP278" s="173"/>
      <c r="AQ278" s="173"/>
      <c r="AR278" s="173"/>
      <c r="AS278" s="173"/>
      <c r="AT278" s="173"/>
      <c r="AU278" s="173"/>
      <c r="AV278" s="173"/>
      <c r="AW278" s="173"/>
      <c r="AX278" s="12"/>
      <c r="AY278" s="143"/>
      <c r="AZ278" s="57"/>
      <c r="BB278" s="1472"/>
      <c r="BC278" s="12"/>
      <c r="BE278" s="57"/>
      <c r="BG278" s="57"/>
      <c r="BH278" s="12"/>
      <c r="BJ278" s="57"/>
      <c r="BL278" s="57"/>
      <c r="BM278" s="12"/>
      <c r="BO278" s="57"/>
      <c r="BQ278" s="57"/>
      <c r="BR278" s="12"/>
      <c r="BS278" s="12"/>
      <c r="BT278" s="12"/>
      <c r="BU278" s="12"/>
      <c r="BV278" s="12"/>
      <c r="BW278" s="12"/>
      <c r="BX278" s="4"/>
      <c r="BY278" s="4"/>
      <c r="BZ278" s="4"/>
      <c r="CA278" s="4"/>
      <c r="CB278" s="4"/>
      <c r="CC278" s="4"/>
      <c r="CI278" s="13"/>
    </row>
    <row r="279" spans="1:87" ht="18.75" customHeight="1" thickTop="1">
      <c r="A279" s="58"/>
      <c r="B279" s="59"/>
      <c r="C279" s="59"/>
      <c r="D279" s="52"/>
      <c r="E279" s="60"/>
      <c r="F279" s="52"/>
      <c r="G279" s="52"/>
      <c r="H279" s="27"/>
      <c r="I279" s="52"/>
      <c r="J279" s="27"/>
      <c r="K279" s="61"/>
      <c r="L279" s="52"/>
      <c r="M279" s="52"/>
      <c r="N279" s="62"/>
      <c r="O279" s="62"/>
      <c r="P279" s="52"/>
      <c r="Q279" s="63"/>
      <c r="R279" s="52"/>
      <c r="S279" s="59" t="s">
        <v>115</v>
      </c>
      <c r="T279" s="210">
        <f>入力画面!I14+K293+K303+K313+K323+K333+K343</f>
        <v>0</v>
      </c>
      <c r="U279" s="59" t="s">
        <v>5</v>
      </c>
      <c r="V279" s="52" t="s">
        <v>125</v>
      </c>
      <c r="W279" s="186"/>
      <c r="X279" s="187">
        <f>IF(K274=0,0,T276/T279)</f>
        <v>0</v>
      </c>
      <c r="Y279" s="60" t="s">
        <v>6</v>
      </c>
      <c r="Z279" s="163"/>
      <c r="AA279" s="4"/>
      <c r="AB279" s="4"/>
      <c r="AC279" s="503" t="s">
        <v>41</v>
      </c>
      <c r="AD279" s="505" t="str">
        <f>AM290</f>
        <v>OK</v>
      </c>
      <c r="AE279" s="74"/>
      <c r="AF279" s="229"/>
      <c r="AG279" s="4"/>
      <c r="AH279" s="273">
        <f>AH13</f>
        <v>0</v>
      </c>
      <c r="AI279" s="173"/>
      <c r="AJ279" s="173"/>
      <c r="AK279" s="173"/>
      <c r="AL279" s="173"/>
      <c r="AM279" s="173"/>
      <c r="AN279" s="384"/>
      <c r="AO279" s="383" t="s">
        <v>216</v>
      </c>
      <c r="AP279" s="1400" t="s">
        <v>221</v>
      </c>
      <c r="AQ279" s="1400"/>
      <c r="AR279" s="1400"/>
      <c r="AS279" s="384"/>
      <c r="AT279" s="1452" t="s">
        <v>216</v>
      </c>
      <c r="AU279" s="1452"/>
      <c r="AV279" s="384"/>
      <c r="AW279" s="384"/>
      <c r="AX279" s="356"/>
      <c r="AY279" s="1580" t="s">
        <v>216</v>
      </c>
      <c r="AZ279" s="1581"/>
      <c r="BA279" s="426"/>
      <c r="BB279" s="427"/>
      <c r="BC279" s="356"/>
      <c r="BD279" s="455"/>
      <c r="BE279" s="442"/>
      <c r="BF279" s="443"/>
      <c r="BG279" s="443"/>
      <c r="BH279" s="444"/>
      <c r="BI279" s="443"/>
      <c r="BJ279" s="442"/>
      <c r="BK279" s="443"/>
      <c r="BL279" s="443"/>
      <c r="BM279" s="444"/>
      <c r="BN279" s="443"/>
      <c r="BO279" s="442"/>
      <c r="BP279" s="443"/>
      <c r="BQ279" s="456"/>
      <c r="BR279" s="12"/>
      <c r="BS279" s="12"/>
      <c r="BT279" s="12"/>
      <c r="BU279" s="12"/>
      <c r="BV279" s="12"/>
      <c r="BW279" s="12"/>
      <c r="BX279" s="4"/>
      <c r="BY279" s="4"/>
      <c r="BZ279" s="4"/>
      <c r="CA279" s="4"/>
      <c r="CB279" s="4"/>
      <c r="CC279" s="4"/>
      <c r="CD279" s="4"/>
      <c r="CE279" s="4"/>
      <c r="CF279" s="586" t="s">
        <v>353</v>
      </c>
      <c r="CH279" s="4"/>
      <c r="CI279" s="13"/>
    </row>
    <row r="280" spans="1:87" ht="18.75" customHeight="1">
      <c r="A280" s="68"/>
      <c r="B280" s="68"/>
      <c r="C280" s="68"/>
      <c r="E280" s="69"/>
      <c r="J280" s="9"/>
      <c r="K280" s="18"/>
      <c r="Q280" s="70"/>
      <c r="R280" s="69"/>
      <c r="S280" s="68"/>
      <c r="T280" s="1365" t="s">
        <v>74</v>
      </c>
      <c r="U280" s="1365"/>
      <c r="V280" s="1365"/>
      <c r="W280" s="1365"/>
      <c r="X280" s="1365"/>
      <c r="Y280" s="1365"/>
      <c r="Z280" s="1365"/>
      <c r="AA280" s="26"/>
      <c r="AB280" s="26"/>
      <c r="AC280" s="503" t="s">
        <v>42</v>
      </c>
      <c r="AD280" s="505" t="str">
        <f>AM291</f>
        <v>OK</v>
      </c>
      <c r="AE280" s="486"/>
      <c r="AF280" s="230"/>
      <c r="AG280" s="71"/>
      <c r="AH280" s="4"/>
      <c r="AI280" s="173"/>
      <c r="AJ280" s="1591" t="s">
        <v>269</v>
      </c>
      <c r="AK280" s="1592"/>
      <c r="AL280" s="1592"/>
      <c r="AM280" s="1593"/>
      <c r="AN280" s="384"/>
      <c r="AO280" s="368" t="s">
        <v>217</v>
      </c>
      <c r="AP280" s="1443" t="s">
        <v>222</v>
      </c>
      <c r="AQ280" s="1443"/>
      <c r="AR280" s="1443"/>
      <c r="AS280" s="384"/>
      <c r="AT280" s="1454" t="s">
        <v>218</v>
      </c>
      <c r="AU280" s="1454"/>
      <c r="AV280" s="1454"/>
      <c r="AW280" s="1454"/>
      <c r="AX280" s="356"/>
      <c r="AY280" s="428" t="s">
        <v>224</v>
      </c>
      <c r="AZ280" s="1409" t="s">
        <v>223</v>
      </c>
      <c r="BA280" s="1409"/>
      <c r="BB280" s="1410"/>
      <c r="BC280" s="356"/>
      <c r="BD280" s="1426" t="s">
        <v>261</v>
      </c>
      <c r="BE280" s="1427"/>
      <c r="BF280" s="1427"/>
      <c r="BG280" s="1427"/>
      <c r="BH280" s="12"/>
      <c r="BI280" s="437" t="s">
        <v>262</v>
      </c>
      <c r="BJ280" s="1438" t="s">
        <v>260</v>
      </c>
      <c r="BK280" s="1438"/>
      <c r="BL280" s="1438"/>
      <c r="BM280" s="12"/>
      <c r="BN280" s="12"/>
      <c r="BO280" s="143" t="s">
        <v>263</v>
      </c>
      <c r="BP280" s="12" t="s">
        <v>88</v>
      </c>
      <c r="BQ280" s="446"/>
      <c r="BR280" s="12"/>
      <c r="BS280" s="12"/>
      <c r="BT280" s="12"/>
      <c r="BU280" s="12"/>
      <c r="BV280" s="12"/>
      <c r="BW280" s="12"/>
      <c r="BX280" s="4"/>
      <c r="BY280" s="4"/>
      <c r="BZ280" s="4"/>
      <c r="CA280" s="4"/>
      <c r="CB280" s="4"/>
      <c r="CC280" s="4"/>
      <c r="CD280" s="4"/>
      <c r="CE280" s="74"/>
      <c r="CF280" s="583">
        <v>1</v>
      </c>
      <c r="CG280" s="583">
        <f>ROUNDDOWN($CE$276/12*CF280,-2)</f>
        <v>14100</v>
      </c>
      <c r="CH280" s="84"/>
      <c r="CI280" s="13"/>
    </row>
    <row r="281" spans="1:87" ht="18.75" customHeight="1">
      <c r="A281" s="194" t="s">
        <v>51</v>
      </c>
      <c r="B281" s="1396">
        <f>IF(I281=1,B15,0)</f>
        <v>0</v>
      </c>
      <c r="C281" s="1396"/>
      <c r="D281" s="1396"/>
      <c r="E281" s="196" t="s">
        <v>11</v>
      </c>
      <c r="F281" s="1398" t="s">
        <v>57</v>
      </c>
      <c r="G281" s="1398"/>
      <c r="H281" s="1398"/>
      <c r="I281" s="1380">
        <f>IF(I15=1,1,0)</f>
        <v>0</v>
      </c>
      <c r="J281" s="1381"/>
      <c r="K281" s="1515">
        <f>IF($AG$2&gt;0,0,IF((X283+X284+X285+X286+X287+Z282+Z283+Z284+Z285)&lt;0,"＊＊エラー介護該当者は①から入力＊＊",0))</f>
        <v>0</v>
      </c>
      <c r="L281" s="1516"/>
      <c r="M281" s="1516"/>
      <c r="N281" s="1516"/>
      <c r="O281" s="1516"/>
      <c r="P281" s="1516"/>
      <c r="Q281" s="1516"/>
      <c r="R281" s="1516"/>
      <c r="S281" s="1517"/>
      <c r="T281" s="195" t="s">
        <v>47</v>
      </c>
      <c r="U281" s="1417">
        <f>IF(U286&gt;0,"介護分",0)</f>
        <v>0</v>
      </c>
      <c r="V281" s="1418"/>
      <c r="W281" s="1419" t="s">
        <v>46</v>
      </c>
      <c r="X281" s="1278"/>
      <c r="Y281" s="1278"/>
      <c r="Z281" s="1279"/>
      <c r="AA281" s="26"/>
      <c r="AB281" s="26"/>
      <c r="AC281" s="504" t="s">
        <v>117</v>
      </c>
      <c r="AD281" s="501" t="str">
        <f>AM292</f>
        <v>OK</v>
      </c>
      <c r="AE281" s="486"/>
      <c r="AF281" s="236" t="s">
        <v>117</v>
      </c>
      <c r="AG281" s="73"/>
      <c r="AH281" s="274">
        <f>IF(K283=0,0,IF(K283&lt;12,1,0))</f>
        <v>0</v>
      </c>
      <c r="AI281" s="174"/>
      <c r="AJ281" s="1594"/>
      <c r="AK281" s="1595"/>
      <c r="AL281" s="1595"/>
      <c r="AM281" s="1596"/>
      <c r="AN281" s="397" t="s">
        <v>51</v>
      </c>
      <c r="AO281" s="1439" t="s">
        <v>219</v>
      </c>
      <c r="AP281" s="1440"/>
      <c r="AQ281" s="1441">
        <f>IF(AR20=0,0,ROUNDDOWN(AR287/AR20,8))</f>
        <v>0</v>
      </c>
      <c r="AR281" s="1442"/>
      <c r="AS281" s="386"/>
      <c r="AT281" s="1439" t="s">
        <v>213</v>
      </c>
      <c r="AU281" s="1440"/>
      <c r="AV281" s="1464">
        <f>IF($AG$272&gt;0,0,AR287-AR286)</f>
        <v>0</v>
      </c>
      <c r="AW281" s="1465"/>
      <c r="AX281" s="356"/>
      <c r="AY281" s="1466" t="s">
        <v>46</v>
      </c>
      <c r="AZ281" s="1440"/>
      <c r="BA281" s="1444">
        <f>IF(R283+R286=0,0,IF(K284&gt;K283,"期割がアンマッチ使用禁止↓",0))</f>
        <v>0</v>
      </c>
      <c r="BB281" s="1445"/>
      <c r="BC281" s="356"/>
      <c r="BD281" s="1435" t="s">
        <v>46</v>
      </c>
      <c r="BE281" s="1434"/>
      <c r="BF281" s="1436" t="s">
        <v>128</v>
      </c>
      <c r="BG281" s="1437"/>
      <c r="BH281" s="12"/>
      <c r="BI281" s="1253" t="s">
        <v>89</v>
      </c>
      <c r="BJ281" s="1434"/>
      <c r="BK281" s="438"/>
      <c r="BL281" s="439"/>
      <c r="BM281" s="12"/>
      <c r="BN281" s="1253" t="s">
        <v>46</v>
      </c>
      <c r="BO281" s="1434"/>
      <c r="BP281" s="1431"/>
      <c r="BQ281" s="1432"/>
      <c r="BR281" s="12"/>
      <c r="BS281" s="12"/>
      <c r="BT281" s="12"/>
      <c r="BU281" s="12"/>
      <c r="BV281" s="12"/>
      <c r="BW281" s="12"/>
      <c r="BX281" s="32"/>
      <c r="BY281" s="33" t="str">
        <f>BY291</f>
        <v>料率</v>
      </c>
      <c r="BZ281" s="33">
        <f>BZ291</f>
        <v>7</v>
      </c>
      <c r="CA281" s="33">
        <f>CA291</f>
        <v>5</v>
      </c>
      <c r="CB281" s="33">
        <f>CB291</f>
        <v>2</v>
      </c>
      <c r="CC281" s="4"/>
      <c r="CD281" s="4"/>
      <c r="CE281" s="89"/>
      <c r="CF281" s="585">
        <v>2</v>
      </c>
      <c r="CG281" s="583">
        <f t="shared" ref="CG281:CG291" si="182">ROUNDDOWN($CE$276/12*CF281,-2)</f>
        <v>28300</v>
      </c>
      <c r="CH281" s="4"/>
      <c r="CI281" s="13"/>
    </row>
    <row r="282" spans="1:87" ht="18.75" customHeight="1">
      <c r="A282" s="165"/>
      <c r="B282" s="12"/>
      <c r="C282" s="75" t="s">
        <v>33</v>
      </c>
      <c r="D282" s="12"/>
      <c r="E282" s="12"/>
      <c r="F282" s="1394" t="s">
        <v>433</v>
      </c>
      <c r="G282" s="1394"/>
      <c r="H282" s="1394"/>
      <c r="I282" s="12"/>
      <c r="J282" s="12"/>
      <c r="K282" s="76" t="s">
        <v>9</v>
      </c>
      <c r="L282" s="12"/>
      <c r="M282" s="1549">
        <f>IF(H286&gt;0,IF(R283+R286=0, 0, IF(K284=K283,0,IF(K284&gt;K283,"年度途中で資格変動有？保険料内訳のみ使用可能",0))),0)</f>
        <v>0</v>
      </c>
      <c r="N282" s="1549"/>
      <c r="O282" s="1549"/>
      <c r="P282" s="1549"/>
      <c r="Q282" s="1549"/>
      <c r="R282" s="1549"/>
      <c r="S282" s="1550"/>
      <c r="T282" s="77" t="s">
        <v>30</v>
      </c>
      <c r="U282" s="78">
        <f>R283+R286</f>
        <v>0</v>
      </c>
      <c r="V282" s="79" t="s">
        <v>6</v>
      </c>
      <c r="W282" s="80" t="s">
        <v>34</v>
      </c>
      <c r="X282" s="29">
        <f t="shared" ref="X282:X287" si="183">IF($AH$13&gt;0,0,IF($AG$2&gt;0,"限度超過",X271-(X292+X302+X312+X322+X332+X342)))</f>
        <v>0</v>
      </c>
      <c r="Y282" s="80" t="s">
        <v>39</v>
      </c>
      <c r="Z282" s="31">
        <f>IF($AH$13&gt;0,0,IF($AG$2&gt;0,"限度超過",Z271-(Z292+Z302+Z312+Z322+Z332+Z342)))</f>
        <v>0</v>
      </c>
      <c r="AA282" s="26"/>
      <c r="AB282" s="26"/>
      <c r="AC282" s="491"/>
      <c r="AD282" s="26"/>
      <c r="AE282" s="486"/>
      <c r="AF282" s="217">
        <f>AF283+AF286+AF289</f>
        <v>0</v>
      </c>
      <c r="AG282" s="26"/>
      <c r="AH282" s="26"/>
      <c r="AI282" s="174"/>
      <c r="AJ282" s="22" t="s">
        <v>34</v>
      </c>
      <c r="AK282" s="23">
        <f t="shared" ref="AK282:AK287" si="184">IF($AG$2&gt;0,0,X282+X292+X302+X312+X322+X332+X342)</f>
        <v>0</v>
      </c>
      <c r="AL282" s="473" t="s">
        <v>39</v>
      </c>
      <c r="AM282" s="474">
        <f>IF($AG$2&gt;0,0,Z282+Z292+Z302+Z312+Z322+Z332+Z342)</f>
        <v>0</v>
      </c>
      <c r="AN282" s="386"/>
      <c r="AO282" s="358" t="s">
        <v>34</v>
      </c>
      <c r="AP282" s="387">
        <f>ROUND(AP16*AQ281,0)</f>
        <v>0</v>
      </c>
      <c r="AQ282" s="360" t="s">
        <v>39</v>
      </c>
      <c r="AR282" s="388">
        <f>ROUND(AR16*AQ281,0)</f>
        <v>0</v>
      </c>
      <c r="AS282" s="386"/>
      <c r="AT282" s="361" t="s">
        <v>34</v>
      </c>
      <c r="AU282" s="387">
        <f>IF(AV281=0,0,IF(AV281&gt;=10,1,IF(AV281&lt;=-10,-1,0)))</f>
        <v>0</v>
      </c>
      <c r="AV282" s="389" t="s">
        <v>39</v>
      </c>
      <c r="AW282" s="388">
        <f>IF(AV281=0,0,IF(AV281&gt;=4,1,IF(AV281&lt;=-4,-1,0)))</f>
        <v>0</v>
      </c>
      <c r="AX282" s="356"/>
      <c r="AY282" s="429" t="s">
        <v>34</v>
      </c>
      <c r="AZ282" s="359">
        <f>IF($AG$2&gt;0,"限度超過",AP282+AU282)</f>
        <v>0</v>
      </c>
      <c r="BA282" s="360" t="s">
        <v>39</v>
      </c>
      <c r="BB282" s="430">
        <f>IF($AG$2&gt;0,"限度超過",AR282+AW282)</f>
        <v>0</v>
      </c>
      <c r="BC282" s="356"/>
      <c r="BD282" s="447" t="s">
        <v>34</v>
      </c>
      <c r="BE282" s="81">
        <f t="shared" ref="BE282:BE287" si="185">IF($A$353=$L$353,"限度超過",X271-(AZ282+AZ292+AZ302+AZ312+AZ322+AZ332+AZ342))</f>
        <v>0</v>
      </c>
      <c r="BF282" s="80" t="s">
        <v>39</v>
      </c>
      <c r="BG282" s="29">
        <f>IF($A$353=$L$353,"限度超過",Z271-(BB282+BB292+BB302+BB312+BB322+BB332+BB342))</f>
        <v>0</v>
      </c>
      <c r="BH282" s="12"/>
      <c r="BI282" s="80" t="s">
        <v>34</v>
      </c>
      <c r="BJ282" s="29">
        <f t="shared" ref="BJ282:BJ287" si="186">IF($A$353=$L$353,"限度超過",IF(BE282=0,0,BE282/$S$271))</f>
        <v>0</v>
      </c>
      <c r="BK282" s="80" t="s">
        <v>39</v>
      </c>
      <c r="BL282" s="29">
        <f>IF($A$353=$L$353,"限度超過",IF(BG282=0,0,BG282/$S$271))</f>
        <v>0</v>
      </c>
      <c r="BM282" s="12"/>
      <c r="BN282" s="80" t="s">
        <v>34</v>
      </c>
      <c r="BO282" s="29">
        <f t="shared" ref="BO282:BO287" si="187">IF($A$353=$L$353,"限度超過",IF($S$271&lt;=1,BE282,BE282-(BO292+BO302+BO312+BO322+BO332+BO342)))</f>
        <v>0</v>
      </c>
      <c r="BP282" s="80" t="s">
        <v>39</v>
      </c>
      <c r="BQ282" s="457">
        <f>IF($A$353=$L$353,"限度超過",IF($S$271&lt;=1,BG282,BG282-(BQ292+BQ302+BQ312+BQ322+BQ332+BQ342)))</f>
        <v>0</v>
      </c>
      <c r="BR282" s="12"/>
      <c r="BS282" s="12"/>
      <c r="BT282" s="12"/>
      <c r="BU282" s="12"/>
      <c r="BV282" s="12"/>
      <c r="BW282" s="12"/>
      <c r="BX282" s="32" t="s">
        <v>1</v>
      </c>
      <c r="BY282" s="44">
        <v>0</v>
      </c>
      <c r="BZ282" s="45">
        <f>CF275</f>
        <v>4270</v>
      </c>
      <c r="CA282" s="45">
        <f>CG275</f>
        <v>3050</v>
      </c>
      <c r="CB282" s="45">
        <f>CH275</f>
        <v>1220</v>
      </c>
      <c r="CC282" s="4"/>
      <c r="CD282" s="4"/>
      <c r="CE282" s="90"/>
      <c r="CF282" s="583">
        <v>3</v>
      </c>
      <c r="CG282" s="583">
        <f t="shared" si="182"/>
        <v>42500</v>
      </c>
      <c r="CH282" s="26"/>
      <c r="CI282" s="13"/>
    </row>
    <row r="283" spans="1:87" ht="18.75" customHeight="1">
      <c r="A283" s="1378" t="s">
        <v>0</v>
      </c>
      <c r="B283" s="1556" t="s">
        <v>129</v>
      </c>
      <c r="C283" s="1382">
        <f>IF(K283&gt;0,C17,0)</f>
        <v>0</v>
      </c>
      <c r="D283" s="1010" t="s">
        <v>58</v>
      </c>
      <c r="E283" s="1389">
        <f>IF(H286&gt;0,$CE$277, 0)</f>
        <v>0</v>
      </c>
      <c r="F283" s="1395" t="s">
        <v>22</v>
      </c>
      <c r="G283" s="1010" t="s">
        <v>59</v>
      </c>
      <c r="H283" s="85">
        <f>IF(H286&gt;0,$CE$273,0)</f>
        <v>0</v>
      </c>
      <c r="I283" s="1385" t="s">
        <v>22</v>
      </c>
      <c r="J283" s="1010" t="s">
        <v>59</v>
      </c>
      <c r="K283" s="51">
        <f>IF(入力画面!V19&gt;=1,入力画面!W19,入力画面!I14)</f>
        <v>0</v>
      </c>
      <c r="L283" s="52" t="s">
        <v>5</v>
      </c>
      <c r="M283" s="118"/>
      <c r="N283" s="119"/>
      <c r="O283" s="119"/>
      <c r="P283" s="1392" t="s">
        <v>130</v>
      </c>
      <c r="Q283" s="1392"/>
      <c r="R283" s="1391">
        <f>ROUNDDOWN(IF(((C283-E283)*H283/H284)*K283/K284&lt;0,0,((C283-E283)*H283/H284)*K283/K284),0)</f>
        <v>0</v>
      </c>
      <c r="S283" s="1524" t="s">
        <v>6</v>
      </c>
      <c r="T283" s="72" t="s">
        <v>1</v>
      </c>
      <c r="U283" s="105">
        <f>T276-(U293+U303+U313+U323+U333+U343)</f>
        <v>0</v>
      </c>
      <c r="V283" s="88" t="s">
        <v>6</v>
      </c>
      <c r="W283" s="30" t="s">
        <v>35</v>
      </c>
      <c r="X283" s="29">
        <f t="shared" si="183"/>
        <v>0</v>
      </c>
      <c r="Y283" s="30" t="s">
        <v>40</v>
      </c>
      <c r="Z283" s="31">
        <f>IF($AH$13&gt;0,0,IF($AG$2&gt;0,"限度超過",Z272-(Z293+Z303+Z313+Z323+Z333+Z343)))</f>
        <v>0</v>
      </c>
      <c r="AA283" s="26"/>
      <c r="AB283" s="26"/>
      <c r="AC283" s="491"/>
      <c r="AD283" s="26"/>
      <c r="AE283" s="486"/>
      <c r="AF283" s="1416">
        <f>ROUNDDOWN(IF(((C283-E283)*H283/H284)&lt;0,0,((C283-E283)*H283/H284)),0)</f>
        <v>0</v>
      </c>
      <c r="AG283" s="26"/>
      <c r="AH283" s="26"/>
      <c r="AI283" s="175"/>
      <c r="AJ283" s="28" t="s">
        <v>35</v>
      </c>
      <c r="AK283" s="29">
        <f t="shared" si="184"/>
        <v>0</v>
      </c>
      <c r="AL283" s="475" t="s">
        <v>40</v>
      </c>
      <c r="AM283" s="476">
        <f>IF($AG$2&gt;0,0,Z283+Z293+Z303+Z313+Z323+Z333+Z343)</f>
        <v>0</v>
      </c>
      <c r="AN283" s="390"/>
      <c r="AO283" s="361" t="s">
        <v>35</v>
      </c>
      <c r="AP283" s="387">
        <f>ROUND(AP17*AQ281,0)</f>
        <v>0</v>
      </c>
      <c r="AQ283" s="360" t="s">
        <v>40</v>
      </c>
      <c r="AR283" s="388">
        <f>ROUND(AR17*AQ281,0)</f>
        <v>0</v>
      </c>
      <c r="AS283" s="390"/>
      <c r="AT283" s="361" t="s">
        <v>35</v>
      </c>
      <c r="AU283" s="387">
        <f>IF(AV281=0,0,IF(AV281&gt;=9,1,IF(AV281&lt;=-9,-1,0)))</f>
        <v>0</v>
      </c>
      <c r="AV283" s="389" t="s">
        <v>40</v>
      </c>
      <c r="AW283" s="388">
        <f>IF(AV281=0,0,IF(AV281&gt;=3,1,IF(AV281&lt;=-3,-1,0)))</f>
        <v>0</v>
      </c>
      <c r="AX283" s="356"/>
      <c r="AY283" s="431" t="s">
        <v>35</v>
      </c>
      <c r="AZ283" s="359">
        <f t="shared" ref="AZ283:BB287" si="188">IF($AG$2&gt;0,"限度超過",AP283+AU283)</f>
        <v>0</v>
      </c>
      <c r="BA283" s="360" t="s">
        <v>40</v>
      </c>
      <c r="BB283" s="430">
        <f t="shared" si="188"/>
        <v>0</v>
      </c>
      <c r="BC283" s="356"/>
      <c r="BD283" s="448" t="s">
        <v>35</v>
      </c>
      <c r="BE283" s="81">
        <f t="shared" si="185"/>
        <v>0</v>
      </c>
      <c r="BF283" s="30" t="s">
        <v>40</v>
      </c>
      <c r="BG283" s="29">
        <f>IF($A$353=$L$353,"限度超過",Z272-(BB283+BB293+BB303+BB313+BB323+BB333+BB343))</f>
        <v>0</v>
      </c>
      <c r="BH283" s="12"/>
      <c r="BI283" s="30" t="s">
        <v>35</v>
      </c>
      <c r="BJ283" s="29">
        <f t="shared" si="186"/>
        <v>0</v>
      </c>
      <c r="BK283" s="30" t="s">
        <v>40</v>
      </c>
      <c r="BL283" s="29">
        <f>IF($A$353=$L$353,"限度超過",IF(BG283=0,0,BG283/$S$271))</f>
        <v>0</v>
      </c>
      <c r="BM283" s="12"/>
      <c r="BN283" s="30" t="s">
        <v>35</v>
      </c>
      <c r="BO283" s="29">
        <f t="shared" si="187"/>
        <v>0</v>
      </c>
      <c r="BP283" s="30" t="s">
        <v>40</v>
      </c>
      <c r="BQ283" s="457">
        <f>IF($A$353=$L$353,"限度超過",IF($S$271&lt;=1,BG283,BG283-(BQ293+BQ303+BQ313+BQ323+BQ333+BQ343)))</f>
        <v>0</v>
      </c>
      <c r="BR283" s="12"/>
      <c r="BS283" s="12"/>
      <c r="BT283" s="12"/>
      <c r="BU283" s="12"/>
      <c r="BV283" s="12"/>
      <c r="BW283" s="12"/>
      <c r="BX283" s="32" t="s">
        <v>8</v>
      </c>
      <c r="BY283" s="45">
        <f>K274</f>
        <v>0</v>
      </c>
      <c r="BZ283" s="45">
        <f t="shared" ref="BZ283:CB284" si="189">BY283</f>
        <v>0</v>
      </c>
      <c r="CA283" s="45">
        <f t="shared" si="189"/>
        <v>0</v>
      </c>
      <c r="CB283" s="45">
        <f t="shared" si="189"/>
        <v>0</v>
      </c>
      <c r="CC283" s="4"/>
      <c r="CD283" s="4"/>
      <c r="CE283" s="90"/>
      <c r="CF283" s="584">
        <v>4</v>
      </c>
      <c r="CG283" s="583">
        <f t="shared" si="182"/>
        <v>56600</v>
      </c>
      <c r="CH283" s="26"/>
      <c r="CI283" s="13"/>
    </row>
    <row r="284" spans="1:87" ht="18.75" customHeight="1">
      <c r="A284" s="1378"/>
      <c r="B284" s="1556"/>
      <c r="C284" s="1382"/>
      <c r="D284" s="1010"/>
      <c r="E284" s="1389"/>
      <c r="F284" s="1395"/>
      <c r="G284" s="1010"/>
      <c r="H284" s="39">
        <v>100</v>
      </c>
      <c r="I284" s="1385"/>
      <c r="J284" s="1010"/>
      <c r="K284" s="55">
        <v>12</v>
      </c>
      <c r="L284" s="12" t="s">
        <v>5</v>
      </c>
      <c r="M284" s="12"/>
      <c r="N284" s="94"/>
      <c r="O284" s="94"/>
      <c r="P284" s="1392"/>
      <c r="Q284" s="1392"/>
      <c r="R284" s="1391"/>
      <c r="S284" s="1524"/>
      <c r="T284" s="72" t="s">
        <v>29</v>
      </c>
      <c r="U284" s="87">
        <f>U282+U283</f>
        <v>0</v>
      </c>
      <c r="V284" s="88" t="s">
        <v>6</v>
      </c>
      <c r="W284" s="30" t="s">
        <v>36</v>
      </c>
      <c r="X284" s="29">
        <f t="shared" si="183"/>
        <v>0</v>
      </c>
      <c r="Y284" s="30" t="s">
        <v>41</v>
      </c>
      <c r="Z284" s="31">
        <f>IF($AH$13&gt;0,0,IF($AG$2&gt;0,"限度超過",Z273-(Z294+Z304+Z314+Z324+Z334+Z344)))</f>
        <v>0</v>
      </c>
      <c r="AA284" s="4"/>
      <c r="AB284" s="4"/>
      <c r="AC284" s="489"/>
      <c r="AD284" s="4"/>
      <c r="AE284" s="74"/>
      <c r="AF284" s="1416"/>
      <c r="AG284" s="26"/>
      <c r="AH284" s="26"/>
      <c r="AI284" s="173"/>
      <c r="AJ284" s="28" t="s">
        <v>36</v>
      </c>
      <c r="AK284" s="29">
        <f t="shared" si="184"/>
        <v>0</v>
      </c>
      <c r="AL284" s="475" t="s">
        <v>41</v>
      </c>
      <c r="AM284" s="476">
        <f>IF($AG$2&gt;0,0,Z284+Z294+Z304+Z314+Z324+Z334+Z344)</f>
        <v>0</v>
      </c>
      <c r="AN284" s="384"/>
      <c r="AO284" s="361" t="s">
        <v>36</v>
      </c>
      <c r="AP284" s="387">
        <f>ROUND(AP18*AQ281,0)</f>
        <v>0</v>
      </c>
      <c r="AQ284" s="360" t="s">
        <v>41</v>
      </c>
      <c r="AR284" s="388">
        <f>ROUND(AR18*AQ281,0)</f>
        <v>0</v>
      </c>
      <c r="AS284" s="384"/>
      <c r="AT284" s="361" t="s">
        <v>36</v>
      </c>
      <c r="AU284" s="387">
        <f>IF(AV281=0,0,IF(AV281&gt;=8,1,IF(AV281&lt;=-8,-1,0)))</f>
        <v>0</v>
      </c>
      <c r="AV284" s="389" t="s">
        <v>41</v>
      </c>
      <c r="AW284" s="388">
        <f>IF(AV281=0,0,IF(AV281&gt;=2,1,IF(AV281&lt;=-2,-1,0)))</f>
        <v>0</v>
      </c>
      <c r="AX284" s="356"/>
      <c r="AY284" s="431" t="s">
        <v>36</v>
      </c>
      <c r="AZ284" s="359">
        <f t="shared" si="188"/>
        <v>0</v>
      </c>
      <c r="BA284" s="360" t="s">
        <v>41</v>
      </c>
      <c r="BB284" s="430">
        <f t="shared" si="188"/>
        <v>0</v>
      </c>
      <c r="BC284" s="356"/>
      <c r="BD284" s="448" t="s">
        <v>36</v>
      </c>
      <c r="BE284" s="81">
        <f t="shared" si="185"/>
        <v>0</v>
      </c>
      <c r="BF284" s="30" t="s">
        <v>41</v>
      </c>
      <c r="BG284" s="29">
        <f>IF($A$353=$L$353,"限度超過",Z273-(BB284+BB294+BB304+BB314+BB324+BB334+BB344))</f>
        <v>0</v>
      </c>
      <c r="BH284" s="12"/>
      <c r="BI284" s="30" t="s">
        <v>36</v>
      </c>
      <c r="BJ284" s="29">
        <f t="shared" si="186"/>
        <v>0</v>
      </c>
      <c r="BK284" s="30" t="s">
        <v>41</v>
      </c>
      <c r="BL284" s="29">
        <f>IF($A$353=$L$353,"限度超過",IF(BG284=0,0,BG284/$S$271))</f>
        <v>0</v>
      </c>
      <c r="BM284" s="12"/>
      <c r="BN284" s="30" t="s">
        <v>36</v>
      </c>
      <c r="BO284" s="29">
        <f t="shared" si="187"/>
        <v>0</v>
      </c>
      <c r="BP284" s="30" t="s">
        <v>41</v>
      </c>
      <c r="BQ284" s="457">
        <f>IF($A$353=$L$353,"限度超過",IF($S$271&lt;=1,BG284,BG284-(BQ294+BQ304+BQ314+BQ324+BQ334+BQ344)))</f>
        <v>0</v>
      </c>
      <c r="BR284" s="12"/>
      <c r="BS284" s="12"/>
      <c r="BT284" s="12"/>
      <c r="BU284" s="12"/>
      <c r="BV284" s="12"/>
      <c r="BW284" s="12"/>
      <c r="BX284" s="32" t="s">
        <v>25</v>
      </c>
      <c r="BY284" s="45">
        <f>K275</f>
        <v>12</v>
      </c>
      <c r="BZ284" s="45">
        <f t="shared" si="189"/>
        <v>12</v>
      </c>
      <c r="CA284" s="45">
        <f t="shared" si="189"/>
        <v>12</v>
      </c>
      <c r="CB284" s="45">
        <f t="shared" si="189"/>
        <v>12</v>
      </c>
      <c r="CC284" s="4"/>
      <c r="CD284" s="4"/>
      <c r="CE284" s="90"/>
      <c r="CF284" s="584">
        <v>5</v>
      </c>
      <c r="CG284" s="583">
        <f t="shared" si="182"/>
        <v>70800</v>
      </c>
      <c r="CH284" s="4"/>
      <c r="CI284" s="13"/>
    </row>
    <row r="285" spans="1:87" ht="18.75" customHeight="1">
      <c r="A285" s="165"/>
      <c r="B285" s="12"/>
      <c r="C285" s="50"/>
      <c r="D285" s="12"/>
      <c r="E285" s="12"/>
      <c r="F285" s="12"/>
      <c r="G285" s="12"/>
      <c r="H285" s="91"/>
      <c r="I285" s="75"/>
      <c r="J285" s="75"/>
      <c r="K285" s="92"/>
      <c r="L285" s="75"/>
      <c r="M285" s="93"/>
      <c r="N285" s="94"/>
      <c r="O285" s="42">
        <f>IF(H286=0,0,$D$271)</f>
        <v>0</v>
      </c>
      <c r="P285" s="463">
        <f>IF(O286=0,0,"軽減額")</f>
        <v>0</v>
      </c>
      <c r="Q285" s="12"/>
      <c r="R285" s="95"/>
      <c r="S285" s="49"/>
      <c r="T285" s="96" t="s">
        <v>31</v>
      </c>
      <c r="U285" s="87">
        <f>ROUNDDOWN(U284,-2)</f>
        <v>0</v>
      </c>
      <c r="V285" s="88" t="s">
        <v>6</v>
      </c>
      <c r="W285" s="30" t="s">
        <v>43</v>
      </c>
      <c r="X285" s="29">
        <f t="shared" si="183"/>
        <v>0</v>
      </c>
      <c r="Y285" s="30" t="s">
        <v>42</v>
      </c>
      <c r="Z285" s="31">
        <f>IF($AH$13&gt;0,0,IF($AG$2&gt;0,"限度超過",Z274-(Z295+Z305+Z315+Z325+Z335+Z345)))</f>
        <v>0</v>
      </c>
      <c r="AC285" s="489"/>
      <c r="AD285" s="4"/>
      <c r="AE285" s="497" t="str">
        <f>IF($AH$13&gt;0,"－",IF($AG$2&gt;0,"限度超過",IF(U286=Z286,"OK","ｱﾝﾏｯﾁ")))</f>
        <v>OK</v>
      </c>
      <c r="AF285" s="496"/>
      <c r="AG285" s="26"/>
      <c r="AI285" s="173"/>
      <c r="AJ285" s="28" t="s">
        <v>43</v>
      </c>
      <c r="AK285" s="29">
        <f t="shared" si="184"/>
        <v>0</v>
      </c>
      <c r="AL285" s="475" t="s">
        <v>42</v>
      </c>
      <c r="AM285" s="476">
        <f>IF($AG$2&gt;0,0,Z285+Z295+Z305+Z315+Z325+Z335+Z345)</f>
        <v>0</v>
      </c>
      <c r="AN285" s="384"/>
      <c r="AO285" s="361" t="s">
        <v>43</v>
      </c>
      <c r="AP285" s="387">
        <f>ROUND(AP19*AQ281,0)</f>
        <v>0</v>
      </c>
      <c r="AQ285" s="360" t="s">
        <v>42</v>
      </c>
      <c r="AR285" s="388">
        <f>ROUND(AR19*AQ281,0)</f>
        <v>0</v>
      </c>
      <c r="AS285" s="384"/>
      <c r="AT285" s="361" t="s">
        <v>43</v>
      </c>
      <c r="AU285" s="387">
        <f>IF(AV281=0,0,IF(AV281&gt;=7,1,IF(AV281&lt;=-7,-1,0)))</f>
        <v>0</v>
      </c>
      <c r="AV285" s="389" t="s">
        <v>42</v>
      </c>
      <c r="AW285" s="388">
        <f>IF(AV281=0,0,IF(AV281&gt;=1,1,IF(AV281&lt;=-1,-1,0)))</f>
        <v>0</v>
      </c>
      <c r="AX285" s="356"/>
      <c r="AY285" s="431" t="s">
        <v>43</v>
      </c>
      <c r="AZ285" s="359">
        <f t="shared" si="188"/>
        <v>0</v>
      </c>
      <c r="BA285" s="360" t="s">
        <v>42</v>
      </c>
      <c r="BB285" s="430">
        <f t="shared" si="188"/>
        <v>0</v>
      </c>
      <c r="BC285" s="356"/>
      <c r="BD285" s="448" t="s">
        <v>43</v>
      </c>
      <c r="BE285" s="81">
        <f t="shared" si="185"/>
        <v>0</v>
      </c>
      <c r="BF285" s="30" t="s">
        <v>42</v>
      </c>
      <c r="BG285" s="29">
        <f>IF($A$353=$L$353,"限度超過",Z274-(BB285+BB295+BB305+BB315+BB325+BB335+BB345))</f>
        <v>0</v>
      </c>
      <c r="BH285" s="12"/>
      <c r="BI285" s="30" t="s">
        <v>43</v>
      </c>
      <c r="BJ285" s="29">
        <f t="shared" si="186"/>
        <v>0</v>
      </c>
      <c r="BK285" s="30" t="s">
        <v>42</v>
      </c>
      <c r="BL285" s="29">
        <f>IF($A$353=$L$353,"限度超過",IF(BG285=0,0,BG285/$S$271))</f>
        <v>0</v>
      </c>
      <c r="BM285" s="12"/>
      <c r="BN285" s="30" t="s">
        <v>43</v>
      </c>
      <c r="BO285" s="29">
        <f t="shared" si="187"/>
        <v>0</v>
      </c>
      <c r="BP285" s="30" t="s">
        <v>42</v>
      </c>
      <c r="BQ285" s="457">
        <f>IF($A$353=$L$353,"限度超過",IF($S$271&lt;=1,BG285,BG285-(BQ295+BQ305+BQ315+BQ325+BQ335+BQ345)))</f>
        <v>0</v>
      </c>
      <c r="BR285" s="12"/>
      <c r="BS285" s="12"/>
      <c r="BT285" s="12"/>
      <c r="BU285" s="12"/>
      <c r="BV285" s="12"/>
      <c r="BW285" s="12"/>
      <c r="BX285" s="67" t="s">
        <v>27</v>
      </c>
      <c r="BY285" s="44">
        <v>0</v>
      </c>
      <c r="BZ285" s="45">
        <f>ROUNDDOWN(BZ282*BZ283/BZ284,0)</f>
        <v>0</v>
      </c>
      <c r="CA285" s="45">
        <f>ROUNDDOWN(CA282*CA283/CA284,0)</f>
        <v>0</v>
      </c>
      <c r="CB285" s="45">
        <f>ROUNDDOWN(CB282*CB283/CB284,0)</f>
        <v>0</v>
      </c>
      <c r="CC285" s="4"/>
      <c r="CD285" s="74"/>
      <c r="CE285" s="90"/>
      <c r="CF285" s="583">
        <v>6</v>
      </c>
      <c r="CG285" s="583">
        <f t="shared" si="182"/>
        <v>85000</v>
      </c>
      <c r="CH285" s="4"/>
      <c r="CI285" s="13"/>
    </row>
    <row r="286" spans="1:87" ht="18.75" customHeight="1">
      <c r="A286" s="1378" t="s">
        <v>10</v>
      </c>
      <c r="B286" s="12"/>
      <c r="C286" s="12"/>
      <c r="D286" s="1379" t="s">
        <v>7</v>
      </c>
      <c r="E286" s="1389">
        <f>IF(H286&gt;0,$CE$274,0)</f>
        <v>0</v>
      </c>
      <c r="F286" s="97"/>
      <c r="G286" s="1010" t="s">
        <v>59</v>
      </c>
      <c r="H286" s="1390">
        <f>IF(B281=0,0,SUBTOTAL(3,B281))</f>
        <v>0</v>
      </c>
      <c r="I286" s="1385" t="s">
        <v>22</v>
      </c>
      <c r="J286" s="1010" t="s">
        <v>59</v>
      </c>
      <c r="K286" s="51">
        <f>IF(H286&gt;0,K283,0)</f>
        <v>0</v>
      </c>
      <c r="L286" s="52" t="s">
        <v>5</v>
      </c>
      <c r="M286" s="1527" t="s">
        <v>122</v>
      </c>
      <c r="N286" s="1548">
        <f>IF(O286=0,0,"―")</f>
        <v>0</v>
      </c>
      <c r="O286" s="1525">
        <f>IF(H286&lt;=0,0,IF($D$271=0,0,IF($D$271=7,BZ296,IF($D$271=5,CA296,IF($D$271=2,CB296,"間違い!")))))</f>
        <v>0</v>
      </c>
      <c r="P286" s="1526"/>
      <c r="Q286" s="1392" t="s">
        <v>130</v>
      </c>
      <c r="R286" s="1391">
        <f>IF(H286&gt;0,IF(K283=0,0,ROUNDDOWN(((E286*H286)*K286/K287)-O286,0)),0)</f>
        <v>0</v>
      </c>
      <c r="S286" s="1524" t="s">
        <v>6</v>
      </c>
      <c r="T286" s="1321" t="s">
        <v>32</v>
      </c>
      <c r="U286" s="1323">
        <f>IF(L353=A353,"限度超過",L353-U296-U306-U316-U326-U336-U346)</f>
        <v>0</v>
      </c>
      <c r="V286" s="1509" t="s">
        <v>6</v>
      </c>
      <c r="W286" s="30" t="s">
        <v>37</v>
      </c>
      <c r="X286" s="29">
        <f t="shared" si="183"/>
        <v>0</v>
      </c>
      <c r="Y286" s="1313" t="s">
        <v>44</v>
      </c>
      <c r="Z286" s="1420">
        <f>IF($AH$13&gt;0,0,IF($AG$2&gt;0,"限度超過",Z275-(Z296+Z306+Z316+Z326+Z336+Z346)))</f>
        <v>0</v>
      </c>
      <c r="AA286" s="73"/>
      <c r="AB286" s="73"/>
      <c r="AC286" s="223"/>
      <c r="AD286" s="73"/>
      <c r="AE286" s="497" t="str">
        <f>IF($AG$2&gt;0,"限度超過",IF(X282+X283+X284+X285+X286+X287+Z282+Z283+Z284+Z285=Z286,"OK","エラー"))</f>
        <v>OK</v>
      </c>
      <c r="AF286" s="1521">
        <f>IF(H286&gt;0,IF(K283=0,0,ROUNDDOWN((E286*H286)-O286,0)),0)</f>
        <v>0</v>
      </c>
      <c r="AG286" s="26"/>
      <c r="AI286" s="173"/>
      <c r="AJ286" s="28" t="s">
        <v>37</v>
      </c>
      <c r="AK286" s="29">
        <f t="shared" si="184"/>
        <v>0</v>
      </c>
      <c r="AL286" s="1544" t="s">
        <v>44</v>
      </c>
      <c r="AM286" s="1567">
        <f>AK282+AK283+AK284+AK285+AK286+AK287+AM282+AM283+AM284+AM285</f>
        <v>0</v>
      </c>
      <c r="AN286" s="384"/>
      <c r="AO286" s="361" t="s">
        <v>37</v>
      </c>
      <c r="AP286" s="387">
        <f>ROUND(AP20*AQ281,0)</f>
        <v>0</v>
      </c>
      <c r="AQ286" s="362" t="s">
        <v>44</v>
      </c>
      <c r="AR286" s="363">
        <f>AP282+AP283+AP284+AP285+AP286+AP287+AR282+AR283+AR284+AR285</f>
        <v>0</v>
      </c>
      <c r="AS286" s="384"/>
      <c r="AT286" s="361" t="s">
        <v>37</v>
      </c>
      <c r="AU286" s="387">
        <f>IF(AV281=0,0,IF(AV281&gt;=6,1,IF(AV281&lt;=-6,-1,0)))</f>
        <v>0</v>
      </c>
      <c r="AV286" s="391" t="s">
        <v>44</v>
      </c>
      <c r="AW286" s="392">
        <f>AU282+AU283+AU284+AU285+AU286+AU287+AW282+AW283+AW284+AW285</f>
        <v>0</v>
      </c>
      <c r="AX286" s="356"/>
      <c r="AY286" s="431" t="s">
        <v>37</v>
      </c>
      <c r="AZ286" s="359">
        <f t="shared" si="188"/>
        <v>0</v>
      </c>
      <c r="BA286" s="362" t="s">
        <v>44</v>
      </c>
      <c r="BB286" s="432">
        <f>IF($AG$2&gt;0,"限度超過",AZ282+AZ283+AZ284+AZ285+AZ286+AZ287+BB282+BB283+BB284+BB285)</f>
        <v>0</v>
      </c>
      <c r="BC286" s="356"/>
      <c r="BD286" s="448" t="s">
        <v>37</v>
      </c>
      <c r="BE286" s="81">
        <f t="shared" si="185"/>
        <v>0</v>
      </c>
      <c r="BF286" s="98" t="s">
        <v>44</v>
      </c>
      <c r="BG286" s="29">
        <f>IF($A$353=$L$353,"限度超過",BE282+BE283+BE284+BE285+BE286+BE287+BG282+BG283+BG284+BG285)</f>
        <v>0</v>
      </c>
      <c r="BH286" s="12"/>
      <c r="BI286" s="30" t="s">
        <v>37</v>
      </c>
      <c r="BJ286" s="29">
        <f t="shared" si="186"/>
        <v>0</v>
      </c>
      <c r="BK286" s="98" t="s">
        <v>44</v>
      </c>
      <c r="BL286" s="29">
        <f>IF($A$353=$L$353,"限度超過",BJ282+BJ283+BJ284+BJ285+BJ286+BJ287+BL282+BL283+BL284+BL285)</f>
        <v>0</v>
      </c>
      <c r="BM286" s="12"/>
      <c r="BN286" s="30" t="s">
        <v>37</v>
      </c>
      <c r="BO286" s="29">
        <f t="shared" si="187"/>
        <v>0</v>
      </c>
      <c r="BP286" s="98" t="s">
        <v>44</v>
      </c>
      <c r="BQ286" s="457">
        <f>IF($A$353=$L$353,"限度超過",BO282+BO283+BO284+BO285+BO286+BO287+BQ282+BQ283+BQ284+BQ285)</f>
        <v>0</v>
      </c>
      <c r="BR286" s="12"/>
      <c r="BS286" s="12"/>
      <c r="BT286" s="12"/>
      <c r="BU286" s="74"/>
      <c r="BV286" s="12"/>
      <c r="BW286" s="12"/>
      <c r="BX286" s="4"/>
      <c r="BY286" s="4"/>
      <c r="BZ286" s="4"/>
      <c r="CA286" s="4"/>
      <c r="CB286" s="4"/>
      <c r="CC286" s="4"/>
      <c r="CD286" s="4"/>
      <c r="CE286" s="4"/>
      <c r="CF286" s="583">
        <v>7</v>
      </c>
      <c r="CG286" s="583">
        <f t="shared" si="182"/>
        <v>99100</v>
      </c>
      <c r="CH286" s="4"/>
      <c r="CI286" s="13"/>
    </row>
    <row r="287" spans="1:87" ht="18.75" customHeight="1">
      <c r="A287" s="1378"/>
      <c r="B287" s="12"/>
      <c r="C287" s="12"/>
      <c r="D287" s="1379"/>
      <c r="E287" s="1389"/>
      <c r="F287" s="12"/>
      <c r="G287" s="1010"/>
      <c r="H287" s="1390"/>
      <c r="I287" s="1385"/>
      <c r="J287" s="1010"/>
      <c r="K287" s="180">
        <f>IF(H286&gt;0,K284,0)</f>
        <v>0</v>
      </c>
      <c r="L287" s="12" t="s">
        <v>5</v>
      </c>
      <c r="M287" s="1527"/>
      <c r="N287" s="1548"/>
      <c r="O287" s="1526"/>
      <c r="P287" s="1526"/>
      <c r="Q287" s="1392"/>
      <c r="R287" s="1391"/>
      <c r="S287" s="1524"/>
      <c r="T287" s="1582"/>
      <c r="U287" s="1363"/>
      <c r="V287" s="1510"/>
      <c r="W287" s="30" t="s">
        <v>38</v>
      </c>
      <c r="X287" s="29">
        <f t="shared" si="183"/>
        <v>0</v>
      </c>
      <c r="Y287" s="1422"/>
      <c r="Z287" s="1421"/>
      <c r="AA287" s="26"/>
      <c r="AB287" s="26"/>
      <c r="AC287" s="491"/>
      <c r="AD287" s="26"/>
      <c r="AE287" s="486"/>
      <c r="AF287" s="1416"/>
      <c r="AG287" s="4"/>
      <c r="AH287" s="4"/>
      <c r="AI287" s="173"/>
      <c r="AJ287" s="65" t="s">
        <v>38</v>
      </c>
      <c r="AK287" s="66">
        <f t="shared" si="184"/>
        <v>0</v>
      </c>
      <c r="AL287" s="1545"/>
      <c r="AM287" s="1568"/>
      <c r="AN287" s="384"/>
      <c r="AO287" s="361" t="s">
        <v>38</v>
      </c>
      <c r="AP287" s="387">
        <f>ROUND(AP21*AQ281,0)</f>
        <v>0</v>
      </c>
      <c r="AQ287" s="360" t="s">
        <v>75</v>
      </c>
      <c r="AR287" s="393">
        <f>U286</f>
        <v>0</v>
      </c>
      <c r="AS287" s="384"/>
      <c r="AT287" s="361" t="s">
        <v>38</v>
      </c>
      <c r="AU287" s="387">
        <f>IF(AV281=0,0,IF(AV281&gt;=5,1,IF(AV281&lt;=-5,-1,0)))</f>
        <v>0</v>
      </c>
      <c r="AV287" s="389"/>
      <c r="AW287" s="394" t="str">
        <f>IF(AU282+AU283+AU284+AU285+AU286+AU287+AW282+AW283+AW284+AW285=AV281,"計算ＯＫ","エラー発生")</f>
        <v>計算ＯＫ</v>
      </c>
      <c r="AX287" s="356"/>
      <c r="AY287" s="431" t="s">
        <v>38</v>
      </c>
      <c r="AZ287" s="359">
        <f t="shared" si="188"/>
        <v>0</v>
      </c>
      <c r="BA287" s="360"/>
      <c r="BB287" s="433">
        <f>IF($AG$2&gt;0,"限度超過",U286)</f>
        <v>0</v>
      </c>
      <c r="BC287" s="356"/>
      <c r="BD287" s="448" t="s">
        <v>38</v>
      </c>
      <c r="BE287" s="81">
        <f t="shared" si="185"/>
        <v>0</v>
      </c>
      <c r="BF287" s="30"/>
      <c r="BG287" s="100"/>
      <c r="BH287" s="12"/>
      <c r="BI287" s="30" t="s">
        <v>38</v>
      </c>
      <c r="BJ287" s="29">
        <f t="shared" si="186"/>
        <v>0</v>
      </c>
      <c r="BK287" s="30"/>
      <c r="BL287" s="100"/>
      <c r="BM287" s="12"/>
      <c r="BN287" s="30" t="s">
        <v>38</v>
      </c>
      <c r="BO287" s="29">
        <f t="shared" si="187"/>
        <v>0</v>
      </c>
      <c r="BP287" s="30"/>
      <c r="BQ287" s="458"/>
      <c r="BR287" s="12"/>
      <c r="BS287" s="12"/>
      <c r="BT287" s="12"/>
      <c r="BU287" s="83"/>
      <c r="BV287" s="12"/>
      <c r="BW287" s="12"/>
      <c r="BX287" s="4"/>
      <c r="BY287" s="4"/>
      <c r="BZ287" s="4"/>
      <c r="CA287" s="4"/>
      <c r="CB287" s="4"/>
      <c r="CC287" s="4"/>
      <c r="CD287" s="4"/>
      <c r="CE287" s="4"/>
      <c r="CF287" s="583">
        <v>8</v>
      </c>
      <c r="CG287" s="583">
        <f t="shared" si="182"/>
        <v>113300</v>
      </c>
      <c r="CH287" s="4"/>
      <c r="CI287" s="13"/>
    </row>
    <row r="288" spans="1:87" ht="18.75" customHeight="1">
      <c r="A288" s="200"/>
      <c r="B288" s="75" t="s">
        <v>118</v>
      </c>
      <c r="C288" s="12"/>
      <c r="D288" s="160"/>
      <c r="E288" s="161"/>
      <c r="F288" s="12"/>
      <c r="G288" s="50"/>
      <c r="H288" s="162"/>
      <c r="I288" s="159"/>
      <c r="J288" s="50"/>
      <c r="K288" s="1523" t="s">
        <v>271</v>
      </c>
      <c r="L288" s="1523"/>
      <c r="M288" s="1523"/>
      <c r="N288" s="1523"/>
      <c r="O288" s="1523"/>
      <c r="P288" s="1523"/>
      <c r="Q288" s="156"/>
      <c r="R288" s="157"/>
      <c r="S288" s="49"/>
      <c r="T288" s="50"/>
      <c r="U288" s="1511" t="s">
        <v>272</v>
      </c>
      <c r="V288" s="1511"/>
      <c r="W288" s="1511"/>
      <c r="X288" s="1511"/>
      <c r="Y288" s="1511"/>
      <c r="Z288" s="185"/>
      <c r="AA288" s="26"/>
      <c r="AB288" s="26"/>
      <c r="AC288" s="491"/>
      <c r="AD288" s="26"/>
      <c r="AE288" s="486"/>
      <c r="AF288" s="234"/>
      <c r="AG288" s="232"/>
      <c r="AH288" s="4"/>
      <c r="AI288" s="173"/>
      <c r="AJ288" s="22" t="s">
        <v>34</v>
      </c>
      <c r="AK288" s="477" t="str">
        <f t="shared" ref="AK288:AK293" si="190">IF(X271=AK282,"OK","エラー")</f>
        <v>OK</v>
      </c>
      <c r="AL288" s="24" t="s">
        <v>39</v>
      </c>
      <c r="AM288" s="478" t="str">
        <f>IF(Z271=AM282,"OK","エラー")</f>
        <v>OK</v>
      </c>
      <c r="AN288" s="384"/>
      <c r="AO288" s="364"/>
      <c r="AP288" s="395"/>
      <c r="AQ288" s="365"/>
      <c r="AR288" s="365"/>
      <c r="AS288" s="384"/>
      <c r="AT288" s="384"/>
      <c r="AU288" s="467" t="str">
        <f>IF($AG$272&gt;0,"限度超過","－")</f>
        <v>－</v>
      </c>
      <c r="AV288" s="384"/>
      <c r="AW288" s="384"/>
      <c r="AX288" s="356"/>
      <c r="AY288" s="434"/>
      <c r="AZ288" s="467" t="str">
        <f>IF($AG$2&gt;0,"限度超過","－")</f>
        <v>－</v>
      </c>
      <c r="BA288" s="365"/>
      <c r="BB288" s="466" t="str">
        <f>IF(BB286=BB287,"OK","エラー")</f>
        <v>OK</v>
      </c>
      <c r="BC288" s="356"/>
      <c r="BD288" s="449"/>
      <c r="BF288" s="4" t="s">
        <v>257</v>
      </c>
      <c r="BH288" s="12"/>
      <c r="BM288" s="12"/>
      <c r="BQ288" s="459"/>
      <c r="BR288" s="12"/>
      <c r="BS288" s="12"/>
      <c r="BT288" s="12"/>
      <c r="BU288" s="83"/>
      <c r="BV288" s="12"/>
      <c r="BW288" s="12"/>
      <c r="BX288" s="4"/>
      <c r="BY288" s="4"/>
      <c r="BZ288" s="4"/>
      <c r="CA288" s="4"/>
      <c r="CB288" s="4"/>
      <c r="CC288" s="4"/>
      <c r="CD288" s="4"/>
      <c r="CE288" s="4"/>
      <c r="CF288" s="583">
        <v>9</v>
      </c>
      <c r="CG288" s="583">
        <f t="shared" si="182"/>
        <v>127500</v>
      </c>
      <c r="CH288" s="4"/>
      <c r="CI288" s="13"/>
    </row>
    <row r="289" spans="1:87" ht="18.75" customHeight="1">
      <c r="A289" s="58" t="s">
        <v>1</v>
      </c>
      <c r="B289" s="52"/>
      <c r="C289" s="187">
        <f>IF(H286&gt;0,$X$279,0)</f>
        <v>0</v>
      </c>
      <c r="D289" s="201" t="s">
        <v>6</v>
      </c>
      <c r="E289" s="60" t="s">
        <v>131</v>
      </c>
      <c r="F289" s="1377">
        <f>入力画面!I14</f>
        <v>0</v>
      </c>
      <c r="G289" s="1377"/>
      <c r="H289" s="214" t="s">
        <v>5</v>
      </c>
      <c r="I289" s="1388" t="s">
        <v>270</v>
      </c>
      <c r="J289" s="1388"/>
      <c r="K289" s="1377">
        <f>T276-(K299+K309+K319+K329+K339+K349)</f>
        <v>0</v>
      </c>
      <c r="L289" s="1377"/>
      <c r="M289" s="202" t="s">
        <v>6</v>
      </c>
      <c r="N289" s="202"/>
      <c r="O289" s="203"/>
      <c r="P289" s="203"/>
      <c r="Q289" s="63"/>
      <c r="R289" s="204"/>
      <c r="S289" s="59"/>
      <c r="T289" s="27"/>
      <c r="U289" s="205"/>
      <c r="V289" s="27"/>
      <c r="W289" s="186"/>
      <c r="X289" s="187"/>
      <c r="Y289" s="206"/>
      <c r="Z289" s="163"/>
      <c r="AA289" s="26"/>
      <c r="AB289" s="26"/>
      <c r="AC289" s="491"/>
      <c r="AD289" s="26"/>
      <c r="AE289" s="486"/>
      <c r="AF289" s="235"/>
      <c r="AG289" s="233"/>
      <c r="AH289" s="189"/>
      <c r="AI289" s="174"/>
      <c r="AJ289" s="28" t="s">
        <v>35</v>
      </c>
      <c r="AK289" s="479" t="str">
        <f t="shared" si="190"/>
        <v>OK</v>
      </c>
      <c r="AL289" s="30" t="s">
        <v>40</v>
      </c>
      <c r="AM289" s="480" t="str">
        <f>IF(Z272=AM283,"OK","エラー")</f>
        <v>OK</v>
      </c>
      <c r="AN289" s="386"/>
      <c r="AO289" s="383" t="s">
        <v>234</v>
      </c>
      <c r="AP289" s="1400" t="s">
        <v>221</v>
      </c>
      <c r="AQ289" s="1400"/>
      <c r="AR289" s="1400"/>
      <c r="AS289" s="386"/>
      <c r="AT289" s="1452" t="s">
        <v>234</v>
      </c>
      <c r="AU289" s="1452"/>
      <c r="AV289" s="384"/>
      <c r="AW289" s="384"/>
      <c r="AX289" s="356"/>
      <c r="AY289" s="1467" t="s">
        <v>234</v>
      </c>
      <c r="AZ289" s="1452"/>
      <c r="BA289" s="365"/>
      <c r="BB289" s="436"/>
      <c r="BC289" s="356"/>
      <c r="BD289" s="1429" t="s">
        <v>234</v>
      </c>
      <c r="BE289" s="1425"/>
      <c r="BF289" s="4" t="s">
        <v>258</v>
      </c>
      <c r="BH289" s="12"/>
      <c r="BI289" s="1425" t="s">
        <v>234</v>
      </c>
      <c r="BJ289" s="1425"/>
      <c r="BM289" s="12"/>
      <c r="BN289" s="1425" t="s">
        <v>234</v>
      </c>
      <c r="BO289" s="1425"/>
      <c r="BQ289" s="459"/>
      <c r="BR289" s="12"/>
      <c r="BS289" s="12"/>
      <c r="BT289" s="12"/>
      <c r="BU289" s="83"/>
      <c r="BV289" s="12"/>
      <c r="BW289" s="12"/>
      <c r="BX289" s="4"/>
      <c r="BY289" s="4"/>
      <c r="BZ289" s="4"/>
      <c r="CA289" s="4"/>
      <c r="CB289" s="4"/>
      <c r="CC289" s="4"/>
      <c r="CD289" s="4"/>
      <c r="CE289" s="4"/>
      <c r="CF289" s="583">
        <v>10</v>
      </c>
      <c r="CG289" s="583">
        <f t="shared" si="182"/>
        <v>141600</v>
      </c>
      <c r="CH289" s="4"/>
      <c r="CI289" s="13"/>
    </row>
    <row r="290" spans="1:87" ht="18.75" customHeight="1">
      <c r="D290" s="101"/>
      <c r="E290" s="70"/>
      <c r="G290" s="9"/>
      <c r="H290" s="102"/>
      <c r="I290" s="5"/>
      <c r="J290" s="9"/>
      <c r="K290" s="18"/>
      <c r="M290" s="103"/>
      <c r="P290" s="103"/>
      <c r="Q290" s="70"/>
      <c r="R290" s="104"/>
      <c r="S290" s="68"/>
      <c r="T290" s="68"/>
      <c r="U290" s="68"/>
      <c r="AA290" s="26"/>
      <c r="AB290" s="26"/>
      <c r="AC290" s="491"/>
      <c r="AD290" s="26"/>
      <c r="AE290" s="486"/>
      <c r="AF290" s="231"/>
      <c r="AG290" s="26"/>
      <c r="AH290" s="26"/>
      <c r="AI290" s="174"/>
      <c r="AJ290" s="28" t="s">
        <v>36</v>
      </c>
      <c r="AK290" s="479" t="str">
        <f t="shared" si="190"/>
        <v>OK</v>
      </c>
      <c r="AL290" s="30" t="s">
        <v>41</v>
      </c>
      <c r="AM290" s="480" t="str">
        <f>IF(Z273=AM284,"OK","エラー")</f>
        <v>OK</v>
      </c>
      <c r="AN290" s="386"/>
      <c r="AO290" s="368" t="s">
        <v>217</v>
      </c>
      <c r="AP290" s="357"/>
      <c r="AQ290" s="396"/>
      <c r="AR290" s="396"/>
      <c r="AS290" s="386"/>
      <c r="AT290" s="1454" t="s">
        <v>218</v>
      </c>
      <c r="AU290" s="1454"/>
      <c r="AV290" s="1454"/>
      <c r="AW290" s="1454"/>
      <c r="AX290" s="356"/>
      <c r="AY290" s="428" t="s">
        <v>224</v>
      </c>
      <c r="AZ290" s="1409" t="s">
        <v>223</v>
      </c>
      <c r="BA290" s="1409"/>
      <c r="BB290" s="1410"/>
      <c r="BC290" s="356"/>
      <c r="BD290" s="1426" t="s">
        <v>261</v>
      </c>
      <c r="BE290" s="1427"/>
      <c r="BF290" s="1427"/>
      <c r="BG290" s="1427"/>
      <c r="BH290" s="12"/>
      <c r="BI290" s="437" t="s">
        <v>262</v>
      </c>
      <c r="BJ290" s="1438" t="s">
        <v>260</v>
      </c>
      <c r="BK290" s="1438"/>
      <c r="BL290" s="1438"/>
      <c r="BM290" s="12"/>
      <c r="BN290" s="12"/>
      <c r="BO290" s="143" t="s">
        <v>263</v>
      </c>
      <c r="BP290" s="12" t="s">
        <v>88</v>
      </c>
      <c r="BQ290" s="446"/>
      <c r="BR290" s="12"/>
      <c r="BS290" s="12"/>
      <c r="BT290" s="12"/>
      <c r="BU290" s="83"/>
      <c r="BV290" s="74"/>
      <c r="BW290" s="12"/>
      <c r="BX290" s="4"/>
      <c r="BY290" s="4"/>
      <c r="BZ290" s="4"/>
      <c r="CA290" s="4"/>
      <c r="CB290" s="4"/>
      <c r="CC290" s="4"/>
      <c r="CD290" s="4"/>
      <c r="CE290" s="4"/>
      <c r="CF290" s="583">
        <v>11</v>
      </c>
      <c r="CG290" s="583">
        <f t="shared" si="182"/>
        <v>155800</v>
      </c>
      <c r="CH290" s="4"/>
      <c r="CI290" s="13"/>
    </row>
    <row r="291" spans="1:87" ht="18.75" customHeight="1">
      <c r="A291" s="194" t="s">
        <v>52</v>
      </c>
      <c r="B291" s="1396">
        <f>IF(I291=1,B25,0)</f>
        <v>0</v>
      </c>
      <c r="C291" s="1396"/>
      <c r="D291" s="1396"/>
      <c r="E291" s="196" t="s">
        <v>11</v>
      </c>
      <c r="F291" s="1398" t="s">
        <v>57</v>
      </c>
      <c r="G291" s="1398"/>
      <c r="H291" s="1398"/>
      <c r="I291" s="1380">
        <f>IF(I25=1,1,0)</f>
        <v>0</v>
      </c>
      <c r="J291" s="1381"/>
      <c r="K291" s="1515">
        <f>IF($AG$2&gt;0,0,IF((X293+X294+X295+X296+X297+Z292+Z293+Z294+Z295)&lt;0,"＊＊エラー介護該当者は①から入力＊＊",0))</f>
        <v>0</v>
      </c>
      <c r="L291" s="1516"/>
      <c r="M291" s="1516"/>
      <c r="N291" s="1516"/>
      <c r="O291" s="1516"/>
      <c r="P291" s="1516"/>
      <c r="Q291" s="1516"/>
      <c r="R291" s="1516"/>
      <c r="S291" s="1517"/>
      <c r="T291" s="195" t="s">
        <v>47</v>
      </c>
      <c r="U291" s="1417">
        <f>IF(U296&gt;0,"介護分",0)</f>
        <v>0</v>
      </c>
      <c r="V291" s="1418"/>
      <c r="W291" s="1419" t="s">
        <v>46</v>
      </c>
      <c r="X291" s="1278"/>
      <c r="Y291" s="1278"/>
      <c r="Z291" s="1279"/>
      <c r="AA291" s="26"/>
      <c r="AB291" s="26"/>
      <c r="AC291" s="491"/>
      <c r="AD291" s="26"/>
      <c r="AE291" s="486"/>
      <c r="AF291" s="236" t="s">
        <v>117</v>
      </c>
      <c r="AG291" s="26"/>
      <c r="AH291" s="274">
        <f>IF(K293=0,0,IF(K293&lt;12,1,0))</f>
        <v>0</v>
      </c>
      <c r="AI291" s="175"/>
      <c r="AJ291" s="28" t="s">
        <v>43</v>
      </c>
      <c r="AK291" s="479" t="str">
        <f t="shared" si="190"/>
        <v>OK</v>
      </c>
      <c r="AL291" s="30" t="s">
        <v>42</v>
      </c>
      <c r="AM291" s="480" t="str">
        <f>IF(Z274=AM285,"OK","エラー")</f>
        <v>OK</v>
      </c>
      <c r="AN291" s="397" t="s">
        <v>145</v>
      </c>
      <c r="AO291" s="1439" t="s">
        <v>46</v>
      </c>
      <c r="AP291" s="1440"/>
      <c r="AQ291" s="1441">
        <f>IF(AR30=0,0,ROUNDDOWN(AR297/AR30,8))</f>
        <v>0</v>
      </c>
      <c r="AR291" s="1442"/>
      <c r="AS291" s="390"/>
      <c r="AT291" s="1439" t="s">
        <v>213</v>
      </c>
      <c r="AU291" s="1440"/>
      <c r="AV291" s="1464">
        <f>IF($AG$272&gt;0,0,AR297-AR296)</f>
        <v>0</v>
      </c>
      <c r="AW291" s="1465"/>
      <c r="AX291" s="356"/>
      <c r="AY291" s="1466" t="s">
        <v>46</v>
      </c>
      <c r="AZ291" s="1440"/>
      <c r="BA291" s="1444">
        <f>IF(R293+R296=0,0,IF(K294&gt;K293,"期割がアンマッチ使用禁止↓",0))</f>
        <v>0</v>
      </c>
      <c r="BB291" s="1445"/>
      <c r="BC291" s="356"/>
      <c r="BD291" s="1435" t="s">
        <v>46</v>
      </c>
      <c r="BE291" s="1434"/>
      <c r="BF291" s="1431"/>
      <c r="BG291" s="1433"/>
      <c r="BH291" s="12"/>
      <c r="BI291" s="1253" t="s">
        <v>46</v>
      </c>
      <c r="BJ291" s="1434"/>
      <c r="BK291" s="1431"/>
      <c r="BL291" s="1433"/>
      <c r="BM291" s="12"/>
      <c r="BN291" s="1253" t="s">
        <v>46</v>
      </c>
      <c r="BO291" s="1434"/>
      <c r="BP291" s="1431"/>
      <c r="BQ291" s="1432"/>
      <c r="BR291" s="12"/>
      <c r="BS291" s="12"/>
      <c r="BT291" s="12"/>
      <c r="BU291" s="83"/>
      <c r="BV291" s="83"/>
      <c r="BW291" s="12"/>
      <c r="BX291" s="32"/>
      <c r="BY291" s="33" t="str">
        <f>CE272</f>
        <v>料率</v>
      </c>
      <c r="BZ291" s="33">
        <f>CF272</f>
        <v>7</v>
      </c>
      <c r="CA291" s="33">
        <f>CG272</f>
        <v>5</v>
      </c>
      <c r="CB291" s="33">
        <f>CH272</f>
        <v>2</v>
      </c>
      <c r="CC291" s="4"/>
      <c r="CD291" s="4"/>
      <c r="CE291" s="4"/>
      <c r="CF291" s="583">
        <v>12</v>
      </c>
      <c r="CG291" s="583">
        <f t="shared" si="182"/>
        <v>170000</v>
      </c>
      <c r="CH291" s="4"/>
      <c r="CI291" s="13"/>
    </row>
    <row r="292" spans="1:87" ht="18.75" customHeight="1">
      <c r="A292" s="165"/>
      <c r="B292" s="12"/>
      <c r="C292" s="75" t="s">
        <v>33</v>
      </c>
      <c r="D292" s="12"/>
      <c r="E292" s="12"/>
      <c r="F292" s="1394" t="s">
        <v>433</v>
      </c>
      <c r="G292" s="1394"/>
      <c r="H292" s="1394"/>
      <c r="I292" s="93"/>
      <c r="J292" s="12"/>
      <c r="K292" s="76" t="s">
        <v>9</v>
      </c>
      <c r="L292" s="12"/>
      <c r="M292" s="1549">
        <f>IF(R293+R296=0, 0, IF(K294=K293,0,IF(K294&gt;K293,"年度途中で資格変動有？保険料内訳のみ使用可能",0)))</f>
        <v>0</v>
      </c>
      <c r="N292" s="1549"/>
      <c r="O292" s="1549"/>
      <c r="P292" s="1549"/>
      <c r="Q292" s="1549"/>
      <c r="R292" s="1549"/>
      <c r="S292" s="1550"/>
      <c r="T292" s="72" t="s">
        <v>30</v>
      </c>
      <c r="U292" s="105">
        <f>R293+R296</f>
        <v>0</v>
      </c>
      <c r="V292" s="88" t="s">
        <v>6</v>
      </c>
      <c r="W292" s="80" t="s">
        <v>34</v>
      </c>
      <c r="X292" s="29">
        <f t="shared" ref="X292:X297" si="191">IF($AH$13&gt;0,0,AZ292)</f>
        <v>0</v>
      </c>
      <c r="Y292" s="80" t="s">
        <v>39</v>
      </c>
      <c r="Z292" s="31">
        <f>IF($AH$13&gt;0,0,BB292)</f>
        <v>0</v>
      </c>
      <c r="AA292" s="4"/>
      <c r="AB292" s="4"/>
      <c r="AC292" s="489"/>
      <c r="AD292" s="4"/>
      <c r="AE292" s="74"/>
      <c r="AF292" s="217">
        <f>AF293+AF296+AF299</f>
        <v>0</v>
      </c>
      <c r="AG292" s="26"/>
      <c r="AH292" s="26"/>
      <c r="AI292" s="173"/>
      <c r="AJ292" s="28" t="s">
        <v>37</v>
      </c>
      <c r="AK292" s="479" t="str">
        <f t="shared" si="190"/>
        <v>OK</v>
      </c>
      <c r="AL292" s="1253" t="s">
        <v>44</v>
      </c>
      <c r="AM292" s="1414" t="str">
        <f>IF(Z275=AM286,"OK","エラー")</f>
        <v>OK</v>
      </c>
      <c r="AN292" s="384"/>
      <c r="AO292" s="358" t="s">
        <v>34</v>
      </c>
      <c r="AP292" s="387">
        <f>ROUND(AP26*AQ291,0)</f>
        <v>0</v>
      </c>
      <c r="AQ292" s="360" t="s">
        <v>39</v>
      </c>
      <c r="AR292" s="388">
        <f>ROUND(AR26*AQ291,0)</f>
        <v>0</v>
      </c>
      <c r="AS292" s="384"/>
      <c r="AT292" s="361" t="s">
        <v>34</v>
      </c>
      <c r="AU292" s="387">
        <f>IF(AV291=0,0,IF(AV291&gt;=10,1,IF(AV291&lt;=-10,-1,0)))</f>
        <v>0</v>
      </c>
      <c r="AV292" s="389" t="s">
        <v>39</v>
      </c>
      <c r="AW292" s="388">
        <f>IF(AV291=0,0,IF(AV291&gt;=4,1,IF(AV291&lt;=-4,-1,0)))</f>
        <v>0</v>
      </c>
      <c r="AX292" s="356"/>
      <c r="AY292" s="429" t="s">
        <v>34</v>
      </c>
      <c r="AZ292" s="359">
        <f t="shared" ref="AZ292:AZ297" si="192">IF($AG$2&gt;0,"限度超過",AP292+AU292)</f>
        <v>0</v>
      </c>
      <c r="BA292" s="360" t="s">
        <v>39</v>
      </c>
      <c r="BB292" s="430">
        <f>IF($AG$2&gt;0,"限度超過",AR292+AW292)</f>
        <v>0</v>
      </c>
      <c r="BC292" s="356"/>
      <c r="BD292" s="448" t="s">
        <v>34</v>
      </c>
      <c r="BE292" s="81">
        <f t="shared" ref="BE292:BE297" si="193">BE282</f>
        <v>0</v>
      </c>
      <c r="BF292" s="82" t="s">
        <v>39</v>
      </c>
      <c r="BG292" s="29">
        <f>BG282</f>
        <v>0</v>
      </c>
      <c r="BH292" s="12"/>
      <c r="BI292" s="80" t="s">
        <v>34</v>
      </c>
      <c r="BJ292" s="29">
        <f t="shared" ref="BJ292:BJ297" si="194">IF($A$353=$L$353,"限度超過",IF(BE292=0,0,BE292/$S$271))</f>
        <v>0</v>
      </c>
      <c r="BK292" s="80" t="s">
        <v>39</v>
      </c>
      <c r="BL292" s="29">
        <f>IF($A$353=$L$353,"限度超過",IF(BG292=0,0,BG292/$S$271))</f>
        <v>0</v>
      </c>
      <c r="BM292" s="12"/>
      <c r="BN292" s="30" t="s">
        <v>34</v>
      </c>
      <c r="BO292" s="29">
        <f t="shared" ref="BO292:BO297" si="195">IF($A$353=$L$353,"限度超過",IF($S$271&lt;=1,0,BJ292))</f>
        <v>0</v>
      </c>
      <c r="BP292" s="80" t="s">
        <v>39</v>
      </c>
      <c r="BQ292" s="457">
        <f>IF($A$353=$L$353,"限度超過",IF($S$271&lt;=1,0,BL292))</f>
        <v>0</v>
      </c>
      <c r="BR292" s="12"/>
      <c r="BS292" s="12"/>
      <c r="BT292" s="12"/>
      <c r="BU292" s="83"/>
      <c r="BV292" s="83"/>
      <c r="BW292" s="12"/>
      <c r="BX292" s="32" t="s">
        <v>17</v>
      </c>
      <c r="BY292" s="44">
        <v>0</v>
      </c>
      <c r="BZ292" s="45">
        <f>$CF$274</f>
        <v>5440</v>
      </c>
      <c r="CA292" s="45">
        <f>$CG$274</f>
        <v>3880</v>
      </c>
      <c r="CB292" s="45">
        <f>$CH$274</f>
        <v>1560</v>
      </c>
      <c r="CC292" s="4"/>
      <c r="CD292" s="4"/>
      <c r="CE292" s="4"/>
      <c r="CF292" s="4"/>
      <c r="CG292" s="587">
        <f>IF(BV354=0,0,VLOOKUP(BV354,CF280:CG291,2,FALSE))</f>
        <v>0</v>
      </c>
      <c r="CH292" s="4"/>
      <c r="CI292" s="13"/>
    </row>
    <row r="293" spans="1:87" ht="18.75" customHeight="1">
      <c r="A293" s="1378" t="s">
        <v>0</v>
      </c>
      <c r="B293" s="1556" t="s">
        <v>129</v>
      </c>
      <c r="C293" s="1382">
        <f>IF(K293&gt;0,C27,0)</f>
        <v>0</v>
      </c>
      <c r="D293" s="1010" t="s">
        <v>58</v>
      </c>
      <c r="E293" s="1389">
        <f>IF(H296&gt;0,$CE$277, 0)</f>
        <v>0</v>
      </c>
      <c r="F293" s="1395" t="s">
        <v>22</v>
      </c>
      <c r="G293" s="1010" t="s">
        <v>59</v>
      </c>
      <c r="H293" s="85">
        <f>IF(H296&gt;0,$CE$273,0)</f>
        <v>0</v>
      </c>
      <c r="I293" s="1385" t="s">
        <v>22</v>
      </c>
      <c r="J293" s="1010" t="s">
        <v>59</v>
      </c>
      <c r="K293" s="51">
        <f>入力画面!I19</f>
        <v>0</v>
      </c>
      <c r="L293" s="52" t="s">
        <v>5</v>
      </c>
      <c r="M293" s="1395"/>
      <c r="N293" s="1527"/>
      <c r="O293" s="86"/>
      <c r="P293" s="1392" t="s">
        <v>130</v>
      </c>
      <c r="Q293" s="1392"/>
      <c r="R293" s="1391">
        <f>ROUNDDOWN(IF(((C293-E293)*H293/H294)*K293/K294&lt;0,0,((C293-E293)*H293/H294)*K293/K294),0)</f>
        <v>0</v>
      </c>
      <c r="S293" s="1524" t="s">
        <v>6</v>
      </c>
      <c r="T293" s="72" t="s">
        <v>1</v>
      </c>
      <c r="U293" s="105">
        <f>IF(H296=0,0,K299)</f>
        <v>0</v>
      </c>
      <c r="V293" s="88" t="s">
        <v>6</v>
      </c>
      <c r="W293" s="30" t="s">
        <v>35</v>
      </c>
      <c r="X293" s="29">
        <f t="shared" si="191"/>
        <v>0</v>
      </c>
      <c r="Y293" s="30" t="s">
        <v>40</v>
      </c>
      <c r="Z293" s="31">
        <f>IF($AH$13&gt;0,0,BB293)</f>
        <v>0</v>
      </c>
      <c r="AC293" s="489"/>
      <c r="AD293" s="4"/>
      <c r="AE293" s="74"/>
      <c r="AF293" s="1416">
        <f>ROUNDDOWN(IF(((C293-E293)*H293/H294)&lt;0,0,((C293-E293)*H293/H294)),0)</f>
        <v>0</v>
      </c>
      <c r="AG293" s="26"/>
      <c r="AH293" s="26"/>
      <c r="AI293" s="173"/>
      <c r="AJ293" s="65" t="s">
        <v>38</v>
      </c>
      <c r="AK293" s="481" t="str">
        <f t="shared" si="190"/>
        <v>OK</v>
      </c>
      <c r="AL293" s="1254"/>
      <c r="AM293" s="1415"/>
      <c r="AN293" s="384"/>
      <c r="AO293" s="361" t="s">
        <v>35</v>
      </c>
      <c r="AP293" s="387">
        <f>ROUND(AP27*AQ291,0)</f>
        <v>0</v>
      </c>
      <c r="AQ293" s="360" t="s">
        <v>40</v>
      </c>
      <c r="AR293" s="388">
        <f>ROUND(AR27*AQ291,0)</f>
        <v>0</v>
      </c>
      <c r="AS293" s="384"/>
      <c r="AT293" s="361" t="s">
        <v>35</v>
      </c>
      <c r="AU293" s="387">
        <f>IF(AV291=0,0,IF(AV291&gt;=9,1,IF(AV291&lt;=-9,-1,0)))</f>
        <v>0</v>
      </c>
      <c r="AV293" s="389" t="s">
        <v>40</v>
      </c>
      <c r="AW293" s="388">
        <f>IF(AV291=0,0,IF(AV291&gt;=3,1,IF(AV291&lt;=-3,-1,0)))</f>
        <v>0</v>
      </c>
      <c r="AX293" s="356"/>
      <c r="AY293" s="431" t="s">
        <v>35</v>
      </c>
      <c r="AZ293" s="359">
        <f t="shared" si="192"/>
        <v>0</v>
      </c>
      <c r="BA293" s="360" t="s">
        <v>40</v>
      </c>
      <c r="BB293" s="430">
        <f>IF($AG$2&gt;0,"限度超過",AR293+AW293)</f>
        <v>0</v>
      </c>
      <c r="BC293" s="356"/>
      <c r="BD293" s="448" t="s">
        <v>35</v>
      </c>
      <c r="BE293" s="81">
        <f t="shared" si="193"/>
        <v>0</v>
      </c>
      <c r="BF293" s="82" t="s">
        <v>40</v>
      </c>
      <c r="BG293" s="29">
        <f>BG283</f>
        <v>0</v>
      </c>
      <c r="BH293" s="12"/>
      <c r="BI293" s="30" t="s">
        <v>35</v>
      </c>
      <c r="BJ293" s="29">
        <f t="shared" si="194"/>
        <v>0</v>
      </c>
      <c r="BK293" s="30" t="s">
        <v>40</v>
      </c>
      <c r="BL293" s="29">
        <f>IF($A$353=$L$353,"限度超過",IF(BG293=0,0,BG293/$S$271))</f>
        <v>0</v>
      </c>
      <c r="BM293" s="12"/>
      <c r="BN293" s="30" t="s">
        <v>35</v>
      </c>
      <c r="BO293" s="29">
        <f t="shared" si="195"/>
        <v>0</v>
      </c>
      <c r="BP293" s="30" t="s">
        <v>40</v>
      </c>
      <c r="BQ293" s="457">
        <f>IF($A$353=$L$353,"限度超過",IF($S$271&lt;=1,0,BL293))</f>
        <v>0</v>
      </c>
      <c r="BR293" s="12"/>
      <c r="BS293" s="12"/>
      <c r="BT293" s="12"/>
      <c r="BU293" s="83"/>
      <c r="BV293" s="83"/>
      <c r="BW293" s="12"/>
      <c r="BX293" s="32" t="s">
        <v>8</v>
      </c>
      <c r="BY293" s="45">
        <f>K286</f>
        <v>0</v>
      </c>
      <c r="BZ293" s="45">
        <f t="shared" ref="BZ293:CB295" si="196">BY293</f>
        <v>0</v>
      </c>
      <c r="CA293" s="45">
        <f t="shared" si="196"/>
        <v>0</v>
      </c>
      <c r="CB293" s="45">
        <f t="shared" si="196"/>
        <v>0</v>
      </c>
      <c r="CC293" s="4"/>
      <c r="CD293" s="4"/>
      <c r="CE293" s="4"/>
      <c r="CF293" s="4"/>
      <c r="CG293" s="4"/>
      <c r="CH293" s="4"/>
      <c r="CI293" s="13"/>
    </row>
    <row r="294" spans="1:87" ht="18.75" customHeight="1">
      <c r="A294" s="1378"/>
      <c r="B294" s="1556"/>
      <c r="C294" s="1382"/>
      <c r="D294" s="1010"/>
      <c r="E294" s="1389"/>
      <c r="F294" s="1395"/>
      <c r="G294" s="1010"/>
      <c r="H294" s="39">
        <v>100</v>
      </c>
      <c r="I294" s="1385"/>
      <c r="J294" s="1010"/>
      <c r="K294" s="55">
        <v>12</v>
      </c>
      <c r="L294" s="12" t="s">
        <v>5</v>
      </c>
      <c r="M294" s="1395"/>
      <c r="N294" s="1527"/>
      <c r="O294" s="86"/>
      <c r="P294" s="1392"/>
      <c r="Q294" s="1392"/>
      <c r="R294" s="1391"/>
      <c r="S294" s="1524"/>
      <c r="T294" s="72" t="s">
        <v>29</v>
      </c>
      <c r="U294" s="105">
        <f>U292+U293</f>
        <v>0</v>
      </c>
      <c r="V294" s="88" t="s">
        <v>6</v>
      </c>
      <c r="W294" s="30" t="s">
        <v>36</v>
      </c>
      <c r="X294" s="29">
        <f t="shared" si="191"/>
        <v>0</v>
      </c>
      <c r="Y294" s="30" t="s">
        <v>41</v>
      </c>
      <c r="Z294" s="31">
        <f>IF($AH$13&gt;0,0,BB294)</f>
        <v>0</v>
      </c>
      <c r="AA294" s="73"/>
      <c r="AB294" s="73"/>
      <c r="AC294" s="223"/>
      <c r="AD294" s="73"/>
      <c r="AE294" s="73"/>
      <c r="AF294" s="1416"/>
      <c r="AG294" s="26"/>
      <c r="AH294" s="26"/>
      <c r="AI294" s="173"/>
      <c r="AJ294" s="173"/>
      <c r="AK294" s="173"/>
      <c r="AL294" s="173"/>
      <c r="AM294" s="173"/>
      <c r="AN294" s="384"/>
      <c r="AO294" s="361" t="s">
        <v>36</v>
      </c>
      <c r="AP294" s="387">
        <f>ROUND(AP28*AQ291,0)</f>
        <v>0</v>
      </c>
      <c r="AQ294" s="360" t="s">
        <v>41</v>
      </c>
      <c r="AR294" s="388">
        <f>ROUND(AR28*AQ291,0)</f>
        <v>0</v>
      </c>
      <c r="AS294" s="384"/>
      <c r="AT294" s="361" t="s">
        <v>36</v>
      </c>
      <c r="AU294" s="387">
        <f>IF(AV291=0,0,IF(AV291&gt;=8,1,IF(AV291&lt;=-8,-1,0)))</f>
        <v>0</v>
      </c>
      <c r="AV294" s="389" t="s">
        <v>41</v>
      </c>
      <c r="AW294" s="388">
        <f>IF(AV291=0,0,IF(AV291&gt;=2,1,IF(AV291&lt;=-2,-1,0)))</f>
        <v>0</v>
      </c>
      <c r="AX294" s="356"/>
      <c r="AY294" s="431" t="s">
        <v>36</v>
      </c>
      <c r="AZ294" s="359">
        <f t="shared" si="192"/>
        <v>0</v>
      </c>
      <c r="BA294" s="360" t="s">
        <v>41</v>
      </c>
      <c r="BB294" s="430">
        <f>IF($AG$2&gt;0,"限度超過",AR294+AW294)</f>
        <v>0</v>
      </c>
      <c r="BC294" s="356"/>
      <c r="BD294" s="448" t="s">
        <v>36</v>
      </c>
      <c r="BE294" s="81">
        <f t="shared" si="193"/>
        <v>0</v>
      </c>
      <c r="BF294" s="82" t="s">
        <v>41</v>
      </c>
      <c r="BG294" s="29">
        <f>BG284</f>
        <v>0</v>
      </c>
      <c r="BH294" s="12"/>
      <c r="BI294" s="30" t="s">
        <v>36</v>
      </c>
      <c r="BJ294" s="29">
        <f t="shared" si="194"/>
        <v>0</v>
      </c>
      <c r="BK294" s="30" t="s">
        <v>41</v>
      </c>
      <c r="BL294" s="29">
        <f>IF($A$353=$L$353,"限度超過",IF(BG294=0,0,BG294/$S$271))</f>
        <v>0</v>
      </c>
      <c r="BM294" s="12"/>
      <c r="BN294" s="30" t="s">
        <v>36</v>
      </c>
      <c r="BO294" s="29">
        <f t="shared" si="195"/>
        <v>0</v>
      </c>
      <c r="BP294" s="30" t="s">
        <v>41</v>
      </c>
      <c r="BQ294" s="457">
        <f>IF($A$353=$L$353,"限度超過",IF($S$271&lt;=1,0,BL294))</f>
        <v>0</v>
      </c>
      <c r="BR294" s="12"/>
      <c r="BS294" s="12"/>
      <c r="BT294" s="12"/>
      <c r="BU294" s="4"/>
      <c r="BV294" s="83"/>
      <c r="BW294" s="12"/>
      <c r="BX294" s="32" t="s">
        <v>25</v>
      </c>
      <c r="BY294" s="45">
        <f>K287</f>
        <v>0</v>
      </c>
      <c r="BZ294" s="45">
        <f t="shared" si="196"/>
        <v>0</v>
      </c>
      <c r="CA294" s="45">
        <f t="shared" si="196"/>
        <v>0</v>
      </c>
      <c r="CB294" s="45">
        <f t="shared" si="196"/>
        <v>0</v>
      </c>
      <c r="CC294" s="4"/>
      <c r="CD294" s="4"/>
      <c r="CE294" s="4"/>
      <c r="CF294" s="4"/>
      <c r="CG294" s="4"/>
      <c r="CH294" s="4"/>
      <c r="CI294" s="13"/>
    </row>
    <row r="295" spans="1:87" ht="18.75" customHeight="1">
      <c r="A295" s="165"/>
      <c r="B295" s="12"/>
      <c r="C295" s="50"/>
      <c r="D295" s="12"/>
      <c r="E295" s="12"/>
      <c r="F295" s="12"/>
      <c r="G295" s="12"/>
      <c r="H295" s="91"/>
      <c r="I295" s="75"/>
      <c r="J295" s="75"/>
      <c r="K295" s="92"/>
      <c r="L295" s="75"/>
      <c r="M295" s="93"/>
      <c r="N295" s="94"/>
      <c r="O295" s="42">
        <f>IF(H296=0,0,$D$271)</f>
        <v>0</v>
      </c>
      <c r="P295" s="463">
        <f>IF(O296=0,0,"軽減額")</f>
        <v>0</v>
      </c>
      <c r="Q295" s="12"/>
      <c r="R295" s="95"/>
      <c r="S295" s="49"/>
      <c r="T295" s="96" t="s">
        <v>31</v>
      </c>
      <c r="U295" s="105">
        <f>ROUNDDOWN(U294,-2)</f>
        <v>0</v>
      </c>
      <c r="V295" s="88" t="s">
        <v>6</v>
      </c>
      <c r="W295" s="30" t="s">
        <v>43</v>
      </c>
      <c r="X295" s="29">
        <f t="shared" si="191"/>
        <v>0</v>
      </c>
      <c r="Y295" s="30" t="s">
        <v>42</v>
      </c>
      <c r="Z295" s="31">
        <f>IF($AH$13&gt;0,0,BB295)</f>
        <v>0</v>
      </c>
      <c r="AA295" s="26"/>
      <c r="AB295" s="26"/>
      <c r="AC295" s="491"/>
      <c r="AD295" s="26"/>
      <c r="AE295" s="497" t="str">
        <f>IF($AH$13&gt;0,"－",IF($AG$2&gt;0,"限度超過",IF(U296=Z296,"OK","ｱﾝﾏｯﾁ")))</f>
        <v>OK</v>
      </c>
      <c r="AF295" s="496"/>
      <c r="AG295" s="4"/>
      <c r="AI295" s="173"/>
      <c r="AJ295" s="173"/>
      <c r="AK295" s="173"/>
      <c r="AL295" s="173"/>
      <c r="AM295" s="173"/>
      <c r="AN295" s="384"/>
      <c r="AO295" s="361" t="s">
        <v>43</v>
      </c>
      <c r="AP295" s="387">
        <f>ROUND(AP29*AQ291,0)</f>
        <v>0</v>
      </c>
      <c r="AQ295" s="360" t="s">
        <v>42</v>
      </c>
      <c r="AR295" s="388">
        <f>ROUND(AR29*AQ291,0)</f>
        <v>0</v>
      </c>
      <c r="AS295" s="384"/>
      <c r="AT295" s="361" t="s">
        <v>43</v>
      </c>
      <c r="AU295" s="387">
        <f>IF(AV291=0,0,IF(AV291&gt;=7,1,IF(AV291&lt;=-7,-1,0)))</f>
        <v>0</v>
      </c>
      <c r="AV295" s="389" t="s">
        <v>42</v>
      </c>
      <c r="AW295" s="388">
        <f>IF(AV291=0,0,IF(AV291&gt;=1,1,IF(AV291&lt;=-1,-1,0)))</f>
        <v>0</v>
      </c>
      <c r="AX295" s="356"/>
      <c r="AY295" s="431" t="s">
        <v>43</v>
      </c>
      <c r="AZ295" s="359">
        <f t="shared" si="192"/>
        <v>0</v>
      </c>
      <c r="BA295" s="360" t="s">
        <v>42</v>
      </c>
      <c r="BB295" s="430">
        <f>IF($AG$2&gt;0,"限度超過",AR295+AW295)</f>
        <v>0</v>
      </c>
      <c r="BC295" s="356"/>
      <c r="BD295" s="448" t="s">
        <v>43</v>
      </c>
      <c r="BE295" s="81">
        <f t="shared" si="193"/>
        <v>0</v>
      </c>
      <c r="BF295" s="82" t="s">
        <v>42</v>
      </c>
      <c r="BG295" s="29">
        <f>BG285</f>
        <v>0</v>
      </c>
      <c r="BH295" s="12"/>
      <c r="BI295" s="30" t="s">
        <v>43</v>
      </c>
      <c r="BJ295" s="29">
        <f t="shared" si="194"/>
        <v>0</v>
      </c>
      <c r="BK295" s="30" t="s">
        <v>42</v>
      </c>
      <c r="BL295" s="29">
        <f>IF($A$353=$L$353,"限度超過",IF(BG295=0,0,BG295/$S$271))</f>
        <v>0</v>
      </c>
      <c r="BM295" s="12"/>
      <c r="BN295" s="30" t="s">
        <v>43</v>
      </c>
      <c r="BO295" s="29">
        <f t="shared" si="195"/>
        <v>0</v>
      </c>
      <c r="BP295" s="30" t="s">
        <v>42</v>
      </c>
      <c r="BQ295" s="457">
        <f>IF($A$353=$L$353,"限度超過",IF($S$271&lt;=1,0,BL295))</f>
        <v>0</v>
      </c>
      <c r="BR295" s="12"/>
      <c r="BS295" s="12"/>
      <c r="BT295" s="12"/>
      <c r="BU295" s="12"/>
      <c r="BV295" s="83"/>
      <c r="BW295" s="12"/>
      <c r="BX295" s="32" t="s">
        <v>26</v>
      </c>
      <c r="BY295" s="26">
        <f>H286</f>
        <v>0</v>
      </c>
      <c r="BZ295" s="99">
        <f t="shared" si="196"/>
        <v>0</v>
      </c>
      <c r="CA295" s="99">
        <f t="shared" si="196"/>
        <v>0</v>
      </c>
      <c r="CB295" s="99">
        <f t="shared" si="196"/>
        <v>0</v>
      </c>
      <c r="CC295" s="4"/>
      <c r="CD295" s="4"/>
      <c r="CE295" s="4"/>
      <c r="CF295" s="4"/>
      <c r="CG295" s="4"/>
      <c r="CH295" s="4"/>
      <c r="CI295" s="13"/>
    </row>
    <row r="296" spans="1:87" ht="18.75" customHeight="1">
      <c r="A296" s="1378" t="s">
        <v>10</v>
      </c>
      <c r="B296" s="12"/>
      <c r="C296" s="12"/>
      <c r="D296" s="1379" t="s">
        <v>7</v>
      </c>
      <c r="E296" s="1389">
        <f>IF(H296&gt;0,$CE$274,0)</f>
        <v>0</v>
      </c>
      <c r="F296" s="97"/>
      <c r="G296" s="1010" t="s">
        <v>59</v>
      </c>
      <c r="H296" s="1390">
        <f>IF(B291=0,0,SUBTOTAL(3,B291))</f>
        <v>0</v>
      </c>
      <c r="I296" s="1385" t="s">
        <v>22</v>
      </c>
      <c r="J296" s="1010" t="s">
        <v>59</v>
      </c>
      <c r="K296" s="51">
        <f>IF(H296&gt;0,K293,0)</f>
        <v>0</v>
      </c>
      <c r="L296" s="52" t="s">
        <v>5</v>
      </c>
      <c r="M296" s="1527" t="s">
        <v>122</v>
      </c>
      <c r="N296" s="1548">
        <f>IF(O296=0,0,"―")</f>
        <v>0</v>
      </c>
      <c r="O296" s="1525">
        <f>IF(H296&lt;=0,0,IF($D$271=0,0,IF($D$271=7,BZ306,IF($D$271=5,CA306,IF($D$271=2,CB306,"間違い!")))))</f>
        <v>0</v>
      </c>
      <c r="P296" s="1526"/>
      <c r="Q296" s="1392" t="s">
        <v>130</v>
      </c>
      <c r="R296" s="1391">
        <f>IF(H296&gt;0,IF(K293=0,0,ROUNDDOWN(((E296*H296)*K296/K297)-O296,0)),0)</f>
        <v>0</v>
      </c>
      <c r="S296" s="1524" t="s">
        <v>6</v>
      </c>
      <c r="T296" s="1537" t="s">
        <v>32</v>
      </c>
      <c r="U296" s="1522">
        <f>IF($L$353=$A$353,"限度超過",U294)</f>
        <v>0</v>
      </c>
      <c r="V296" s="1512" t="s">
        <v>6</v>
      </c>
      <c r="W296" s="30" t="s">
        <v>37</v>
      </c>
      <c r="X296" s="29">
        <f t="shared" si="191"/>
        <v>0</v>
      </c>
      <c r="Y296" s="1313" t="s">
        <v>44</v>
      </c>
      <c r="Z296" s="1420">
        <f>IF($AH$13&gt;0,0,BB296)</f>
        <v>0</v>
      </c>
      <c r="AA296" s="26"/>
      <c r="AB296" s="26"/>
      <c r="AC296" s="491"/>
      <c r="AD296" s="26"/>
      <c r="AE296" s="497" t="str">
        <f>IF($AG$2&gt;0,"限度超過",IF(X292+X293+X294+X295+X296+X297+Z292+Z293+Z294+Z295=Z296,"OK","エラー"))</f>
        <v>OK</v>
      </c>
      <c r="AF296" s="1521">
        <f>IF(H296&gt;0,IF(K293=0,0,ROUNDDOWN((E296*H296)-O296,0)),0)</f>
        <v>0</v>
      </c>
      <c r="AG296" s="4"/>
      <c r="AI296" s="173"/>
      <c r="AJ296" s="173"/>
      <c r="AK296" s="173"/>
      <c r="AL296" s="173"/>
      <c r="AM296" s="173"/>
      <c r="AN296" s="384"/>
      <c r="AO296" s="361" t="s">
        <v>37</v>
      </c>
      <c r="AP296" s="387">
        <f>ROUND(AP30*AQ291,0)</f>
        <v>0</v>
      </c>
      <c r="AQ296" s="362" t="s">
        <v>44</v>
      </c>
      <c r="AR296" s="363">
        <f>AP292+AP293+AP294+AP295+AP296+AP297+AR292+AR293+AR294+AR295</f>
        <v>0</v>
      </c>
      <c r="AS296" s="384"/>
      <c r="AT296" s="361" t="s">
        <v>37</v>
      </c>
      <c r="AU296" s="387">
        <f>IF(AV291=0,0,IF(AV291&gt;=6,1,IF(AV291&lt;=-6,-1,0)))</f>
        <v>0</v>
      </c>
      <c r="AV296" s="391" t="s">
        <v>44</v>
      </c>
      <c r="AW296" s="392">
        <f>AU292+AU293+AU294+AU295+AU296+AU297+AW292+AW293+AW294+AW295</f>
        <v>0</v>
      </c>
      <c r="AX296" s="356"/>
      <c r="AY296" s="431" t="s">
        <v>37</v>
      </c>
      <c r="AZ296" s="359">
        <f t="shared" si="192"/>
        <v>0</v>
      </c>
      <c r="BA296" s="362" t="s">
        <v>44</v>
      </c>
      <c r="BB296" s="432">
        <f>IF($AG$2&gt;0,"限度超過",AZ292+AZ293+AZ294+AZ295+AZ296+AZ297+BB292+BB293+BB294+BB295)</f>
        <v>0</v>
      </c>
      <c r="BC296" s="356"/>
      <c r="BD296" s="448" t="s">
        <v>37</v>
      </c>
      <c r="BE296" s="81">
        <f t="shared" si="193"/>
        <v>0</v>
      </c>
      <c r="BF296" s="440" t="s">
        <v>44</v>
      </c>
      <c r="BG296" s="29">
        <f>IF($A$353=$L$353,"限度超過",BE292+BE293+BE294+BE295+BE296+BE297+BG292+BG293+BG294+BG295)</f>
        <v>0</v>
      </c>
      <c r="BH296" s="12"/>
      <c r="BI296" s="30" t="s">
        <v>37</v>
      </c>
      <c r="BJ296" s="29">
        <f t="shared" si="194"/>
        <v>0</v>
      </c>
      <c r="BK296" s="98" t="s">
        <v>44</v>
      </c>
      <c r="BL296" s="29">
        <f>IF($A$353=$L$353,"限度超過",BJ292+BJ293+BJ294+BJ295+BJ296+BJ297+BL292+BL293+BL294+BL295)</f>
        <v>0</v>
      </c>
      <c r="BM296" s="12"/>
      <c r="BN296" s="30" t="s">
        <v>37</v>
      </c>
      <c r="BO296" s="29">
        <f t="shared" si="195"/>
        <v>0</v>
      </c>
      <c r="BP296" s="98" t="s">
        <v>44</v>
      </c>
      <c r="BQ296" s="457">
        <f>IF($A$353=$L$353,"限度超過",BO292+BO293+BO294+BO295+BO296+BO297+BQ292+BQ293+BQ294+BQ295)</f>
        <v>0</v>
      </c>
      <c r="BR296" s="12"/>
      <c r="BS296" s="12"/>
      <c r="BT296" s="12"/>
      <c r="BU296" s="12"/>
      <c r="BV296" s="4"/>
      <c r="BW296" s="12"/>
      <c r="BX296" s="67" t="s">
        <v>27</v>
      </c>
      <c r="BY296" s="45">
        <f>IF(BY295&gt;0,ROUNDDOWN(BY292*BY295*BY293/BY294,0),0)</f>
        <v>0</v>
      </c>
      <c r="BZ296" s="45">
        <f>IF(BZ295&gt;0,ROUNDDOWN(BZ292*BZ295*BZ293/BZ294,0),0)</f>
        <v>0</v>
      </c>
      <c r="CA296" s="45">
        <f>IF(CA295&gt;0,ROUNDDOWN(CA292*CA295*CA293/CA294,0),0)</f>
        <v>0</v>
      </c>
      <c r="CB296" s="45">
        <f>IF(CB295&gt;0,ROUNDDOWN(CB292*CB295*CB293/CB294,0),0)</f>
        <v>0</v>
      </c>
      <c r="CC296" s="4"/>
      <c r="CD296" s="4"/>
      <c r="CE296" s="4"/>
      <c r="CF296" s="4"/>
      <c r="CG296" s="4"/>
      <c r="CH296" s="4"/>
      <c r="CI296" s="13"/>
    </row>
    <row r="297" spans="1:87" ht="18.75" customHeight="1">
      <c r="A297" s="1378"/>
      <c r="B297" s="12"/>
      <c r="C297" s="12"/>
      <c r="D297" s="1379"/>
      <c r="E297" s="1389"/>
      <c r="F297" s="12"/>
      <c r="G297" s="1010"/>
      <c r="H297" s="1390"/>
      <c r="I297" s="1385"/>
      <c r="J297" s="1010"/>
      <c r="K297" s="180">
        <f>IF(H296&gt;0,K294,0)</f>
        <v>0</v>
      </c>
      <c r="L297" s="12" t="s">
        <v>5</v>
      </c>
      <c r="M297" s="1527"/>
      <c r="N297" s="1548"/>
      <c r="O297" s="1526"/>
      <c r="P297" s="1526"/>
      <c r="Q297" s="1392"/>
      <c r="R297" s="1391"/>
      <c r="S297" s="1524"/>
      <c r="T297" s="1537"/>
      <c r="U297" s="1522"/>
      <c r="V297" s="1512"/>
      <c r="W297" s="30" t="s">
        <v>38</v>
      </c>
      <c r="X297" s="29">
        <f t="shared" si="191"/>
        <v>0</v>
      </c>
      <c r="Y297" s="1422"/>
      <c r="Z297" s="1421"/>
      <c r="AA297" s="26"/>
      <c r="AB297" s="26"/>
      <c r="AC297" s="491"/>
      <c r="AD297" s="26"/>
      <c r="AE297" s="486"/>
      <c r="AF297" s="1416"/>
      <c r="AG297" s="73"/>
      <c r="AH297" s="189"/>
      <c r="AI297" s="174"/>
      <c r="AJ297" s="174"/>
      <c r="AK297" s="174"/>
      <c r="AL297" s="174"/>
      <c r="AM297" s="174"/>
      <c r="AN297" s="386"/>
      <c r="AO297" s="361" t="s">
        <v>38</v>
      </c>
      <c r="AP297" s="387">
        <f>ROUND(AP31*AQ291,0)</f>
        <v>0</v>
      </c>
      <c r="AQ297" s="360" t="s">
        <v>75</v>
      </c>
      <c r="AR297" s="393">
        <f>U296</f>
        <v>0</v>
      </c>
      <c r="AS297" s="386"/>
      <c r="AT297" s="361" t="s">
        <v>38</v>
      </c>
      <c r="AU297" s="387">
        <f>IF(AV291=0,0,IF(AV291&gt;=5,1,IF(AV291&lt;=-5,-1,0)))</f>
        <v>0</v>
      </c>
      <c r="AV297" s="389"/>
      <c r="AW297" s="394" t="str">
        <f>IF(AU292+AU293+AU294+AU295+AU296+AU297+AW292+AW293+AW294+AW295=AV291,"計算ＯＫ","エラー発生")</f>
        <v>計算ＯＫ</v>
      </c>
      <c r="AX297" s="356"/>
      <c r="AY297" s="431" t="s">
        <v>38</v>
      </c>
      <c r="AZ297" s="359">
        <f t="shared" si="192"/>
        <v>0</v>
      </c>
      <c r="BA297" s="360"/>
      <c r="BB297" s="433">
        <f>IF($AG$2&gt;0,"限度超過",U296)</f>
        <v>0</v>
      </c>
      <c r="BC297" s="356"/>
      <c r="BD297" s="448" t="s">
        <v>38</v>
      </c>
      <c r="BE297" s="81">
        <f t="shared" si="193"/>
        <v>0</v>
      </c>
      <c r="BF297" s="82"/>
      <c r="BG297" s="100"/>
      <c r="BH297" s="12"/>
      <c r="BI297" s="30" t="s">
        <v>38</v>
      </c>
      <c r="BJ297" s="29">
        <f t="shared" si="194"/>
        <v>0</v>
      </c>
      <c r="BK297" s="30"/>
      <c r="BL297" s="100"/>
      <c r="BM297" s="12"/>
      <c r="BN297" s="30" t="s">
        <v>38</v>
      </c>
      <c r="BO297" s="29">
        <f t="shared" si="195"/>
        <v>0</v>
      </c>
      <c r="BP297" s="30"/>
      <c r="BQ297" s="458"/>
      <c r="BR297" s="12"/>
      <c r="BS297" s="12"/>
      <c r="BT297" s="12"/>
      <c r="BU297" s="12"/>
      <c r="BV297" s="12"/>
      <c r="BW297" s="12"/>
      <c r="BX297" s="4"/>
      <c r="BY297" s="4"/>
      <c r="BZ297" s="4"/>
      <c r="CA297" s="4"/>
      <c r="CB297" s="4"/>
      <c r="CC297" s="4"/>
      <c r="CD297" s="4"/>
      <c r="CE297" s="4"/>
      <c r="CF297" s="4"/>
      <c r="CG297" s="4"/>
      <c r="CH297" s="4"/>
      <c r="CI297" s="13"/>
    </row>
    <row r="298" spans="1:87" ht="18.75" customHeight="1">
      <c r="A298" s="200"/>
      <c r="B298" s="75" t="s">
        <v>118</v>
      </c>
      <c r="C298" s="12"/>
      <c r="D298" s="160"/>
      <c r="E298" s="161"/>
      <c r="F298" s="12"/>
      <c r="G298" s="50"/>
      <c r="H298" s="162"/>
      <c r="I298" s="159"/>
      <c r="J298" s="50"/>
      <c r="K298" s="180"/>
      <c r="L298" s="12"/>
      <c r="M298" s="86"/>
      <c r="N298" s="86"/>
      <c r="O298" s="181"/>
      <c r="P298" s="181"/>
      <c r="Q298" s="156"/>
      <c r="R298" s="157"/>
      <c r="S298" s="49"/>
      <c r="T298" s="50"/>
      <c r="U298" s="182"/>
      <c r="V298" s="50"/>
      <c r="W298" s="4"/>
      <c r="X298" s="26"/>
      <c r="Y298" s="170"/>
      <c r="Z298" s="185"/>
      <c r="AA298" s="26"/>
      <c r="AB298" s="26"/>
      <c r="AC298" s="491"/>
      <c r="AD298" s="26"/>
      <c r="AE298" s="486"/>
      <c r="AF298" s="234"/>
      <c r="AG298" s="26"/>
      <c r="AH298" s="26"/>
      <c r="AI298" s="174"/>
      <c r="AJ298" s="174"/>
      <c r="AK298" s="174"/>
      <c r="AL298" s="174"/>
      <c r="AM298" s="174"/>
      <c r="AN298" s="386"/>
      <c r="AO298" s="364"/>
      <c r="AP298" s="395"/>
      <c r="AQ298" s="365"/>
      <c r="AR298" s="365"/>
      <c r="AS298" s="386"/>
      <c r="AT298" s="386"/>
      <c r="AU298" s="386"/>
      <c r="AV298" s="386"/>
      <c r="AW298" s="386"/>
      <c r="AX298" s="356"/>
      <c r="AY298" s="434"/>
      <c r="AZ298" s="467" t="str">
        <f>IF($AG$2&gt;0,"限度超過","－")</f>
        <v>－</v>
      </c>
      <c r="BA298" s="365"/>
      <c r="BB298" s="466" t="str">
        <f>IF(BB296=BB297,"OK","エラー")</f>
        <v>OK</v>
      </c>
      <c r="BC298" s="356"/>
      <c r="BD298" s="449"/>
      <c r="BF298" s="4" t="s">
        <v>257</v>
      </c>
      <c r="BH298" s="12"/>
      <c r="BM298" s="12"/>
      <c r="BQ298" s="459"/>
      <c r="BR298" s="12"/>
      <c r="BS298" s="12"/>
      <c r="BT298" s="12"/>
      <c r="BU298" s="12"/>
      <c r="BV298" s="12"/>
      <c r="BW298" s="12"/>
      <c r="BX298" s="4"/>
      <c r="BY298" s="4"/>
      <c r="BZ298" s="4"/>
      <c r="CA298" s="4"/>
      <c r="CB298" s="4"/>
      <c r="CC298" s="4"/>
      <c r="CD298" s="4"/>
      <c r="CE298" s="4"/>
      <c r="CF298" s="4"/>
      <c r="CG298" s="4"/>
      <c r="CH298" s="4"/>
      <c r="CI298" s="13"/>
    </row>
    <row r="299" spans="1:87" ht="18.75" customHeight="1">
      <c r="A299" s="58" t="s">
        <v>1</v>
      </c>
      <c r="B299" s="52"/>
      <c r="C299" s="187">
        <f>IF(H296&gt;0,$X$279,0)</f>
        <v>0</v>
      </c>
      <c r="D299" s="201" t="s">
        <v>6</v>
      </c>
      <c r="E299" s="60" t="s">
        <v>131</v>
      </c>
      <c r="F299" s="1377">
        <f>K293</f>
        <v>0</v>
      </c>
      <c r="G299" s="1377"/>
      <c r="H299" s="214" t="s">
        <v>5</v>
      </c>
      <c r="I299" s="1388" t="s">
        <v>14</v>
      </c>
      <c r="J299" s="1388"/>
      <c r="K299" s="1377">
        <f>C299*F299</f>
        <v>0</v>
      </c>
      <c r="L299" s="1377"/>
      <c r="M299" s="202" t="s">
        <v>6</v>
      </c>
      <c r="N299" s="202"/>
      <c r="O299" s="203"/>
      <c r="P299" s="203"/>
      <c r="Q299" s="63"/>
      <c r="R299" s="204"/>
      <c r="S299" s="59"/>
      <c r="T299" s="27"/>
      <c r="U299" s="205"/>
      <c r="V299" s="27"/>
      <c r="W299" s="186"/>
      <c r="X299" s="187"/>
      <c r="Y299" s="206"/>
      <c r="Z299" s="163"/>
      <c r="AA299" s="26"/>
      <c r="AB299" s="26"/>
      <c r="AC299" s="491"/>
      <c r="AD299" s="26"/>
      <c r="AE299" s="486"/>
      <c r="AF299" s="235"/>
      <c r="AG299" s="26"/>
      <c r="AH299" s="26"/>
      <c r="AI299" s="175"/>
      <c r="AJ299" s="175"/>
      <c r="AK299" s="175"/>
      <c r="AL299" s="175"/>
      <c r="AM299" s="175"/>
      <c r="AN299" s="390"/>
      <c r="AO299" s="383" t="s">
        <v>235</v>
      </c>
      <c r="AP299" s="1400" t="s">
        <v>221</v>
      </c>
      <c r="AQ299" s="1400"/>
      <c r="AR299" s="1400"/>
      <c r="AS299" s="390"/>
      <c r="AT299" s="1452" t="s">
        <v>235</v>
      </c>
      <c r="AU299" s="1452"/>
      <c r="AV299" s="384"/>
      <c r="AW299" s="384"/>
      <c r="AX299" s="356"/>
      <c r="AY299" s="435" t="s">
        <v>235</v>
      </c>
      <c r="AZ299" s="385"/>
      <c r="BA299" s="365"/>
      <c r="BB299" s="436"/>
      <c r="BC299" s="356"/>
      <c r="BD299" s="460" t="s">
        <v>235</v>
      </c>
      <c r="BE299" s="400"/>
      <c r="BF299" s="4" t="s">
        <v>258</v>
      </c>
      <c r="BH299" s="12"/>
      <c r="BI299" s="400" t="s">
        <v>235</v>
      </c>
      <c r="BJ299" s="400"/>
      <c r="BM299" s="12"/>
      <c r="BN299" s="400" t="s">
        <v>235</v>
      </c>
      <c r="BO299" s="400"/>
      <c r="BQ299" s="459"/>
      <c r="BR299" s="12"/>
      <c r="BS299" s="12"/>
      <c r="BT299" s="12"/>
      <c r="BU299" s="12"/>
      <c r="BV299" s="12"/>
      <c r="BW299" s="12"/>
      <c r="BX299" s="4"/>
      <c r="BY299" s="4"/>
      <c r="BZ299" s="4"/>
      <c r="CA299" s="4"/>
      <c r="CB299" s="4"/>
      <c r="CC299" s="4"/>
      <c r="CD299" s="4"/>
      <c r="CE299" s="4"/>
      <c r="CF299" s="4"/>
      <c r="CG299" s="4"/>
      <c r="CH299" s="4"/>
      <c r="CI299" s="13"/>
    </row>
    <row r="300" spans="1:87" ht="18.75" customHeight="1">
      <c r="D300" s="101"/>
      <c r="E300" s="70"/>
      <c r="G300" s="9"/>
      <c r="H300" s="102"/>
      <c r="I300" s="5"/>
      <c r="J300" s="9"/>
      <c r="K300" s="18"/>
      <c r="M300" s="103"/>
      <c r="P300" s="103"/>
      <c r="Q300" s="70"/>
      <c r="R300" s="104"/>
      <c r="S300" s="68"/>
      <c r="T300" s="68"/>
      <c r="U300" s="68"/>
      <c r="V300" s="18"/>
      <c r="AA300" s="4"/>
      <c r="AB300" s="4"/>
      <c r="AC300" s="489"/>
      <c r="AD300" s="4"/>
      <c r="AE300" s="74"/>
      <c r="AF300" s="231"/>
      <c r="AG300" s="26"/>
      <c r="AH300" s="26"/>
      <c r="AI300" s="173"/>
      <c r="AJ300" s="173"/>
      <c r="AK300" s="173"/>
      <c r="AL300" s="173"/>
      <c r="AM300" s="173"/>
      <c r="AN300" s="384"/>
      <c r="AO300" s="368" t="s">
        <v>217</v>
      </c>
      <c r="AP300" s="357"/>
      <c r="AQ300" s="396"/>
      <c r="AR300" s="396"/>
      <c r="AS300" s="384"/>
      <c r="AT300" s="1454" t="s">
        <v>218</v>
      </c>
      <c r="AU300" s="1454"/>
      <c r="AV300" s="1454"/>
      <c r="AW300" s="1454"/>
      <c r="AX300" s="356"/>
      <c r="AY300" s="428" t="s">
        <v>224</v>
      </c>
      <c r="AZ300" s="1409" t="s">
        <v>223</v>
      </c>
      <c r="BA300" s="1409"/>
      <c r="BB300" s="1410"/>
      <c r="BC300" s="356"/>
      <c r="BD300" s="1426" t="s">
        <v>261</v>
      </c>
      <c r="BE300" s="1427"/>
      <c r="BF300" s="1427"/>
      <c r="BG300" s="1427"/>
      <c r="BH300" s="12"/>
      <c r="BI300" s="437" t="s">
        <v>262</v>
      </c>
      <c r="BJ300" s="1438" t="s">
        <v>260</v>
      </c>
      <c r="BK300" s="1438"/>
      <c r="BL300" s="1438"/>
      <c r="BM300" s="12"/>
      <c r="BN300" s="12"/>
      <c r="BO300" s="143" t="s">
        <v>263</v>
      </c>
      <c r="BP300" s="12" t="s">
        <v>88</v>
      </c>
      <c r="BQ300" s="446"/>
      <c r="BR300" s="12"/>
      <c r="BS300" s="12"/>
      <c r="BT300" s="12"/>
      <c r="BU300" s="12"/>
      <c r="BV300" s="12"/>
      <c r="BW300" s="12"/>
      <c r="BX300" s="4"/>
      <c r="BY300" s="4"/>
      <c r="BZ300" s="4"/>
      <c r="CA300" s="4"/>
      <c r="CB300" s="4"/>
      <c r="CC300" s="4"/>
      <c r="CD300" s="4"/>
      <c r="CE300" s="4"/>
      <c r="CF300" s="4"/>
      <c r="CG300" s="4"/>
      <c r="CH300" s="4"/>
      <c r="CI300" s="13"/>
    </row>
    <row r="301" spans="1:87" ht="18.75" customHeight="1">
      <c r="A301" s="194" t="s">
        <v>53</v>
      </c>
      <c r="B301" s="1396">
        <f>IF(I301=1,B35,0)</f>
        <v>0</v>
      </c>
      <c r="C301" s="1396"/>
      <c r="D301" s="1396"/>
      <c r="E301" s="196" t="s">
        <v>11</v>
      </c>
      <c r="F301" s="1398" t="s">
        <v>57</v>
      </c>
      <c r="G301" s="1398"/>
      <c r="H301" s="1398"/>
      <c r="I301" s="1380">
        <f>IF(I35=1,1,0)</f>
        <v>0</v>
      </c>
      <c r="J301" s="1381"/>
      <c r="K301" s="1515">
        <f>IF($AG$2&gt;0,0,IF((X303+X304+X305+X306+X307+Z302+Z303+Z304+Z305)&lt;0,"＊＊エラー介護該当者は①から入力＊＊",0))</f>
        <v>0</v>
      </c>
      <c r="L301" s="1516"/>
      <c r="M301" s="1516"/>
      <c r="N301" s="1516"/>
      <c r="O301" s="1516"/>
      <c r="P301" s="1516"/>
      <c r="Q301" s="1516"/>
      <c r="R301" s="1516"/>
      <c r="S301" s="1517"/>
      <c r="T301" s="195" t="s">
        <v>47</v>
      </c>
      <c r="U301" s="1417">
        <f>IF(U306&gt;0,"介護分",0)</f>
        <v>0</v>
      </c>
      <c r="V301" s="1418"/>
      <c r="W301" s="1419" t="s">
        <v>46</v>
      </c>
      <c r="X301" s="1278"/>
      <c r="Y301" s="1278"/>
      <c r="Z301" s="1279"/>
      <c r="AC301" s="489"/>
      <c r="AD301" s="4"/>
      <c r="AE301" s="74"/>
      <c r="AF301" s="236" t="s">
        <v>117</v>
      </c>
      <c r="AG301" s="26"/>
      <c r="AH301" s="274">
        <f>IF(K303=0,0,IF(K303&lt;12,1,0))</f>
        <v>0</v>
      </c>
      <c r="AI301" s="173"/>
      <c r="AJ301" s="173"/>
      <c r="AK301" s="173"/>
      <c r="AL301" s="173"/>
      <c r="AM301" s="173"/>
      <c r="AN301" s="397" t="s">
        <v>146</v>
      </c>
      <c r="AO301" s="1439" t="s">
        <v>46</v>
      </c>
      <c r="AP301" s="1440"/>
      <c r="AQ301" s="1441">
        <f>IF(AR40=0,0,ROUNDDOWN(AR307/AR40,8))</f>
        <v>0</v>
      </c>
      <c r="AR301" s="1442"/>
      <c r="AS301" s="384"/>
      <c r="AT301" s="1439" t="s">
        <v>213</v>
      </c>
      <c r="AU301" s="1440"/>
      <c r="AV301" s="1464">
        <f>IF($AG$272&gt;0,0,AR307-AR306)</f>
        <v>0</v>
      </c>
      <c r="AW301" s="1465"/>
      <c r="AX301" s="356"/>
      <c r="AY301" s="1466" t="s">
        <v>46</v>
      </c>
      <c r="AZ301" s="1440"/>
      <c r="BA301" s="1444">
        <f>IF(R303+R306=0,0,IF(K304&gt;K303,"期割がアンマッチ使用禁止↓",0))</f>
        <v>0</v>
      </c>
      <c r="BB301" s="1445"/>
      <c r="BC301" s="356"/>
      <c r="BD301" s="1435" t="s">
        <v>46</v>
      </c>
      <c r="BE301" s="1434"/>
      <c r="BF301" s="1431"/>
      <c r="BG301" s="1433"/>
      <c r="BH301" s="12"/>
      <c r="BI301" s="1253" t="s">
        <v>46</v>
      </c>
      <c r="BJ301" s="1434"/>
      <c r="BK301" s="1431"/>
      <c r="BL301" s="1433"/>
      <c r="BM301" s="12"/>
      <c r="BN301" s="1253" t="s">
        <v>46</v>
      </c>
      <c r="BO301" s="1434"/>
      <c r="BP301" s="1431"/>
      <c r="BQ301" s="1432"/>
      <c r="BR301" s="12"/>
      <c r="BS301" s="12"/>
      <c r="BT301" s="12"/>
      <c r="BU301" s="12"/>
      <c r="BV301" s="12"/>
      <c r="BW301" s="12"/>
      <c r="BX301" s="32"/>
      <c r="BY301" s="33" t="str">
        <f>BY291</f>
        <v>料率</v>
      </c>
      <c r="BZ301" s="33">
        <f>BZ291</f>
        <v>7</v>
      </c>
      <c r="CA301" s="33">
        <f>CA291</f>
        <v>5</v>
      </c>
      <c r="CB301" s="33">
        <f>CB291</f>
        <v>2</v>
      </c>
      <c r="CC301" s="4"/>
      <c r="CD301" s="4"/>
      <c r="CE301" s="4"/>
      <c r="CF301" s="4"/>
      <c r="CG301" s="4"/>
      <c r="CH301" s="4"/>
      <c r="CI301" s="13"/>
    </row>
    <row r="302" spans="1:87" ht="18.75" customHeight="1">
      <c r="A302" s="165"/>
      <c r="B302" s="12"/>
      <c r="C302" s="75" t="s">
        <v>33</v>
      </c>
      <c r="D302" s="12"/>
      <c r="E302" s="12"/>
      <c r="F302" s="1394" t="s">
        <v>433</v>
      </c>
      <c r="G302" s="1394"/>
      <c r="H302" s="1394"/>
      <c r="I302" s="93"/>
      <c r="J302" s="12"/>
      <c r="K302" s="76" t="s">
        <v>9</v>
      </c>
      <c r="L302" s="12"/>
      <c r="M302" s="1549">
        <f>IF(R303+R306=0, 0, IF(K304=K303,0,IF(K304&gt;K303,"年度途中で資格変動有？保険料内訳のみ使用可能",0)))</f>
        <v>0</v>
      </c>
      <c r="N302" s="1549"/>
      <c r="O302" s="1549"/>
      <c r="P302" s="1549"/>
      <c r="Q302" s="1549"/>
      <c r="R302" s="1549"/>
      <c r="S302" s="1550"/>
      <c r="T302" s="72" t="s">
        <v>30</v>
      </c>
      <c r="U302" s="105">
        <f>R303+R306</f>
        <v>0</v>
      </c>
      <c r="V302" s="88" t="s">
        <v>6</v>
      </c>
      <c r="W302" s="80" t="s">
        <v>34</v>
      </c>
      <c r="X302" s="29">
        <f t="shared" ref="X302:X307" si="197">IF($AH$13&gt;0,0,AZ302)</f>
        <v>0</v>
      </c>
      <c r="Y302" s="80" t="s">
        <v>39</v>
      </c>
      <c r="Z302" s="31">
        <f>IF($AH$13&gt;0,0,BB302)</f>
        <v>0</v>
      </c>
      <c r="AA302" s="73"/>
      <c r="AB302" s="73"/>
      <c r="AC302" s="223"/>
      <c r="AD302" s="73"/>
      <c r="AE302" s="73"/>
      <c r="AF302" s="217">
        <f>AF303+AF306+AF309</f>
        <v>0</v>
      </c>
      <c r="AG302" s="26"/>
      <c r="AH302" s="26"/>
      <c r="AI302" s="173"/>
      <c r="AJ302" s="173"/>
      <c r="AK302" s="173"/>
      <c r="AL302" s="173"/>
      <c r="AM302" s="173"/>
      <c r="AN302" s="384"/>
      <c r="AO302" s="358" t="s">
        <v>34</v>
      </c>
      <c r="AP302" s="387">
        <f>ROUND(AP36*AQ301,0)</f>
        <v>0</v>
      </c>
      <c r="AQ302" s="360" t="s">
        <v>39</v>
      </c>
      <c r="AR302" s="388">
        <f>ROUND(AR36*AQ301,0)</f>
        <v>0</v>
      </c>
      <c r="AS302" s="384"/>
      <c r="AT302" s="361" t="s">
        <v>34</v>
      </c>
      <c r="AU302" s="387">
        <f>IF(AV301=0,0,IF(AV301&gt;=10,1,IF(AV301&lt;=-10,-1,0)))</f>
        <v>0</v>
      </c>
      <c r="AV302" s="389" t="s">
        <v>39</v>
      </c>
      <c r="AW302" s="388">
        <f>IF(AV301=0,0,IF(AV301&gt;=4,1,IF(AV301&lt;=-4,-1,0)))</f>
        <v>0</v>
      </c>
      <c r="AX302" s="356"/>
      <c r="AY302" s="429" t="s">
        <v>34</v>
      </c>
      <c r="AZ302" s="359">
        <f t="shared" ref="AZ302:AZ307" si="198">IF($AG$2&gt;0,"限度超過",AP302+AU302)</f>
        <v>0</v>
      </c>
      <c r="BA302" s="360" t="s">
        <v>39</v>
      </c>
      <c r="BB302" s="430">
        <f>IF($AG$2&gt;0,"限度超過",AR302+AW302)</f>
        <v>0</v>
      </c>
      <c r="BC302" s="356"/>
      <c r="BD302" s="448" t="s">
        <v>34</v>
      </c>
      <c r="BE302" s="81">
        <f t="shared" ref="BE302:BE307" si="199">BE292</f>
        <v>0</v>
      </c>
      <c r="BF302" s="82" t="s">
        <v>39</v>
      </c>
      <c r="BG302" s="29">
        <f>BG292</f>
        <v>0</v>
      </c>
      <c r="BH302" s="12"/>
      <c r="BI302" s="80" t="s">
        <v>34</v>
      </c>
      <c r="BJ302" s="29">
        <f t="shared" ref="BJ302:BJ307" si="200">IF($A$353=$L$353,"限度超過",IF(BE302=0,0,BE302/$S$271))</f>
        <v>0</v>
      </c>
      <c r="BK302" s="80" t="s">
        <v>39</v>
      </c>
      <c r="BL302" s="29">
        <f>IF($A$353=$L$353,"限度超過",IF(BG302=0,0,BG302/$S$271))</f>
        <v>0</v>
      </c>
      <c r="BM302" s="12"/>
      <c r="BN302" s="30" t="s">
        <v>34</v>
      </c>
      <c r="BO302" s="29">
        <f t="shared" ref="BO302:BO307" si="201">IF($A$353=$L$353,"限度超過",IF($S$271&lt;=2,0,BJ302))</f>
        <v>0</v>
      </c>
      <c r="BP302" s="80" t="s">
        <v>39</v>
      </c>
      <c r="BQ302" s="457">
        <f>IF($A$353=$L$353,"限度超過",IF($S$271&lt;=2,0,BL302))</f>
        <v>0</v>
      </c>
      <c r="BR302" s="12"/>
      <c r="BS302" s="12"/>
      <c r="BT302" s="12"/>
      <c r="BU302" s="12"/>
      <c r="BV302" s="12"/>
      <c r="BW302" s="12"/>
      <c r="BX302" s="32" t="s">
        <v>17</v>
      </c>
      <c r="BY302" s="44">
        <v>0</v>
      </c>
      <c r="BZ302" s="45">
        <f>$CF$274</f>
        <v>5440</v>
      </c>
      <c r="CA302" s="45">
        <f>$CG$274</f>
        <v>3880</v>
      </c>
      <c r="CB302" s="45">
        <f>$CH$274</f>
        <v>1560</v>
      </c>
      <c r="CC302" s="4"/>
      <c r="CD302" s="4"/>
      <c r="CE302" s="4"/>
      <c r="CF302" s="4"/>
      <c r="CG302" s="4"/>
      <c r="CH302" s="4"/>
      <c r="CI302" s="13"/>
    </row>
    <row r="303" spans="1:87" ht="18.75" customHeight="1">
      <c r="A303" s="1378" t="s">
        <v>0</v>
      </c>
      <c r="B303" s="1556" t="s">
        <v>129</v>
      </c>
      <c r="C303" s="1382">
        <f>IF(K303&gt;0,C37,0)</f>
        <v>0</v>
      </c>
      <c r="D303" s="1010" t="s">
        <v>58</v>
      </c>
      <c r="E303" s="1389">
        <f>IF(H306&gt;0,$CE$277, 0)</f>
        <v>0</v>
      </c>
      <c r="F303" s="1395" t="s">
        <v>22</v>
      </c>
      <c r="G303" s="1010" t="s">
        <v>59</v>
      </c>
      <c r="H303" s="85">
        <f>IF(H306&gt;0,$CE$273,0)</f>
        <v>0</v>
      </c>
      <c r="I303" s="1385" t="s">
        <v>22</v>
      </c>
      <c r="J303" s="1010" t="s">
        <v>59</v>
      </c>
      <c r="K303" s="51">
        <f>入力画面!I24</f>
        <v>0</v>
      </c>
      <c r="L303" s="52" t="s">
        <v>5</v>
      </c>
      <c r="M303" s="1395"/>
      <c r="N303" s="1527"/>
      <c r="O303" s="86"/>
      <c r="P303" s="1392" t="s">
        <v>130</v>
      </c>
      <c r="Q303" s="1392"/>
      <c r="R303" s="1391">
        <f>ROUNDDOWN(IF(((C303-E303)*H303/H304)*K303/K304&lt;0,0,((C303-E303)*H303/H304)*K303/K304),0)</f>
        <v>0</v>
      </c>
      <c r="S303" s="1524" t="s">
        <v>6</v>
      </c>
      <c r="T303" s="72" t="s">
        <v>1</v>
      </c>
      <c r="U303" s="105">
        <f>IF(H306=0,0,K309)</f>
        <v>0</v>
      </c>
      <c r="V303" s="88" t="s">
        <v>6</v>
      </c>
      <c r="W303" s="30" t="s">
        <v>35</v>
      </c>
      <c r="X303" s="29">
        <f t="shared" si="197"/>
        <v>0</v>
      </c>
      <c r="Y303" s="30" t="s">
        <v>40</v>
      </c>
      <c r="Z303" s="31">
        <f>IF($AH$13&gt;0,0,BB303)</f>
        <v>0</v>
      </c>
      <c r="AA303" s="26"/>
      <c r="AB303" s="26"/>
      <c r="AC303" s="491"/>
      <c r="AD303" s="26"/>
      <c r="AE303" s="486"/>
      <c r="AF303" s="1416">
        <f>ROUNDDOWN(IF(((C303-E303)*H303/H304)&lt;0,0,((C303-E303)*H303/H304)),0)</f>
        <v>0</v>
      </c>
      <c r="AG303" s="4"/>
      <c r="AH303" s="4"/>
      <c r="AI303" s="173"/>
      <c r="AJ303" s="173"/>
      <c r="AK303" s="173"/>
      <c r="AL303" s="173"/>
      <c r="AM303" s="173"/>
      <c r="AN303" s="384"/>
      <c r="AO303" s="361" t="s">
        <v>35</v>
      </c>
      <c r="AP303" s="387">
        <f>ROUND(AP37*AQ301,0)</f>
        <v>0</v>
      </c>
      <c r="AQ303" s="360" t="s">
        <v>40</v>
      </c>
      <c r="AR303" s="388">
        <f>ROUND(AR37*AQ301,0)</f>
        <v>0</v>
      </c>
      <c r="AS303" s="384"/>
      <c r="AT303" s="361" t="s">
        <v>35</v>
      </c>
      <c r="AU303" s="387">
        <f>IF(AV301=0,0,IF(AV301&gt;=9,1,IF(AV301&lt;=-9,-1,0)))</f>
        <v>0</v>
      </c>
      <c r="AV303" s="389" t="s">
        <v>40</v>
      </c>
      <c r="AW303" s="388">
        <f>IF(AV301=0,0,IF(AV301&gt;=3,1,IF(AV301&lt;=-3,-1,0)))</f>
        <v>0</v>
      </c>
      <c r="AX303" s="356"/>
      <c r="AY303" s="431" t="s">
        <v>35</v>
      </c>
      <c r="AZ303" s="359">
        <f t="shared" si="198"/>
        <v>0</v>
      </c>
      <c r="BA303" s="360" t="s">
        <v>40</v>
      </c>
      <c r="BB303" s="430">
        <f>IF($AG$2&gt;0,"限度超過",AR303+AW303)</f>
        <v>0</v>
      </c>
      <c r="BC303" s="356"/>
      <c r="BD303" s="448" t="s">
        <v>35</v>
      </c>
      <c r="BE303" s="81">
        <f t="shared" si="199"/>
        <v>0</v>
      </c>
      <c r="BF303" s="82" t="s">
        <v>40</v>
      </c>
      <c r="BG303" s="29">
        <f>BG293</f>
        <v>0</v>
      </c>
      <c r="BH303" s="12"/>
      <c r="BI303" s="30" t="s">
        <v>35</v>
      </c>
      <c r="BJ303" s="29">
        <f t="shared" si="200"/>
        <v>0</v>
      </c>
      <c r="BK303" s="30" t="s">
        <v>40</v>
      </c>
      <c r="BL303" s="29">
        <f>IF($A$353=$L$353,"限度超過",IF(BG303=0,0,BG303/$S$271))</f>
        <v>0</v>
      </c>
      <c r="BM303" s="12"/>
      <c r="BN303" s="30" t="s">
        <v>35</v>
      </c>
      <c r="BO303" s="29">
        <f t="shared" si="201"/>
        <v>0</v>
      </c>
      <c r="BP303" s="30" t="s">
        <v>40</v>
      </c>
      <c r="BQ303" s="457">
        <f>IF($A$353=$L$353,"限度超過",IF($S$271&lt;=2,0,BL303))</f>
        <v>0</v>
      </c>
      <c r="BR303" s="12"/>
      <c r="BS303" s="12"/>
      <c r="BT303" s="12"/>
      <c r="BU303" s="12"/>
      <c r="BV303" s="12"/>
      <c r="BW303" s="12"/>
      <c r="BX303" s="32" t="s">
        <v>8</v>
      </c>
      <c r="BY303" s="45">
        <f>K296</f>
        <v>0</v>
      </c>
      <c r="BZ303" s="45">
        <f t="shared" ref="BZ303:CB305" si="202">BY303</f>
        <v>0</v>
      </c>
      <c r="CA303" s="45">
        <f t="shared" si="202"/>
        <v>0</v>
      </c>
      <c r="CB303" s="45">
        <f t="shared" si="202"/>
        <v>0</v>
      </c>
      <c r="CC303" s="4"/>
      <c r="CD303" s="4"/>
      <c r="CE303" s="4"/>
      <c r="CF303" s="4"/>
      <c r="CG303" s="4"/>
      <c r="CH303" s="4"/>
      <c r="CI303" s="13"/>
    </row>
    <row r="304" spans="1:87" ht="18.75" customHeight="1">
      <c r="A304" s="1378"/>
      <c r="B304" s="1556"/>
      <c r="C304" s="1382"/>
      <c r="D304" s="1010"/>
      <c r="E304" s="1389"/>
      <c r="F304" s="1395"/>
      <c r="G304" s="1010"/>
      <c r="H304" s="39">
        <v>100</v>
      </c>
      <c r="I304" s="1385"/>
      <c r="J304" s="1010"/>
      <c r="K304" s="55">
        <v>12</v>
      </c>
      <c r="L304" s="12" t="s">
        <v>5</v>
      </c>
      <c r="M304" s="1395"/>
      <c r="N304" s="1527"/>
      <c r="O304" s="86"/>
      <c r="P304" s="1392"/>
      <c r="Q304" s="1392"/>
      <c r="R304" s="1391"/>
      <c r="S304" s="1524"/>
      <c r="T304" s="72" t="s">
        <v>29</v>
      </c>
      <c r="U304" s="105">
        <f>U302+U303</f>
        <v>0</v>
      </c>
      <c r="V304" s="88" t="s">
        <v>6</v>
      </c>
      <c r="W304" s="30" t="s">
        <v>36</v>
      </c>
      <c r="X304" s="29">
        <f t="shared" si="197"/>
        <v>0</v>
      </c>
      <c r="Y304" s="30" t="s">
        <v>41</v>
      </c>
      <c r="Z304" s="31">
        <f>IF($AH$13&gt;0,0,BB304)</f>
        <v>0</v>
      </c>
      <c r="AA304" s="26"/>
      <c r="AB304" s="26"/>
      <c r="AC304" s="491"/>
      <c r="AD304" s="26"/>
      <c r="AE304" s="486"/>
      <c r="AF304" s="1416"/>
      <c r="AG304" s="4"/>
      <c r="AI304" s="173"/>
      <c r="AJ304" s="173"/>
      <c r="AK304" s="173"/>
      <c r="AL304" s="173"/>
      <c r="AM304" s="173"/>
      <c r="AN304" s="384"/>
      <c r="AO304" s="361" t="s">
        <v>36</v>
      </c>
      <c r="AP304" s="387">
        <f>ROUND(AP38*AQ301,0)</f>
        <v>0</v>
      </c>
      <c r="AQ304" s="360" t="s">
        <v>41</v>
      </c>
      <c r="AR304" s="388">
        <f>ROUND(AR38*AQ301,0)</f>
        <v>0</v>
      </c>
      <c r="AS304" s="384"/>
      <c r="AT304" s="361" t="s">
        <v>36</v>
      </c>
      <c r="AU304" s="387">
        <f>IF(AV301=0,0,IF(AV301&gt;=8,1,IF(AV301&lt;=-8,-1,0)))</f>
        <v>0</v>
      </c>
      <c r="AV304" s="389" t="s">
        <v>41</v>
      </c>
      <c r="AW304" s="388">
        <f>IF(AV301=0,0,IF(AV301&gt;=2,1,IF(AV301&lt;=-2,-1,0)))</f>
        <v>0</v>
      </c>
      <c r="AX304" s="356"/>
      <c r="AY304" s="431" t="s">
        <v>36</v>
      </c>
      <c r="AZ304" s="359">
        <f t="shared" si="198"/>
        <v>0</v>
      </c>
      <c r="BA304" s="360" t="s">
        <v>41</v>
      </c>
      <c r="BB304" s="430">
        <f>IF($AG$2&gt;0,"限度超過",AR304+AW304)</f>
        <v>0</v>
      </c>
      <c r="BC304" s="356"/>
      <c r="BD304" s="448" t="s">
        <v>36</v>
      </c>
      <c r="BE304" s="81">
        <f t="shared" si="199"/>
        <v>0</v>
      </c>
      <c r="BF304" s="82" t="s">
        <v>41</v>
      </c>
      <c r="BG304" s="29">
        <f>BG294</f>
        <v>0</v>
      </c>
      <c r="BH304" s="12"/>
      <c r="BI304" s="30" t="s">
        <v>36</v>
      </c>
      <c r="BJ304" s="29">
        <f t="shared" si="200"/>
        <v>0</v>
      </c>
      <c r="BK304" s="30" t="s">
        <v>41</v>
      </c>
      <c r="BL304" s="29">
        <f>IF($A$353=$L$353,"限度超過",IF(BG304=0,0,BG304/$S$271))</f>
        <v>0</v>
      </c>
      <c r="BM304" s="12"/>
      <c r="BN304" s="30" t="s">
        <v>36</v>
      </c>
      <c r="BO304" s="29">
        <f t="shared" si="201"/>
        <v>0</v>
      </c>
      <c r="BP304" s="30" t="s">
        <v>41</v>
      </c>
      <c r="BQ304" s="457">
        <f>IF($A$353=$L$353,"限度超過",IF($S$271&lt;=2,0,BL304))</f>
        <v>0</v>
      </c>
      <c r="BR304" s="12"/>
      <c r="BS304" s="12"/>
      <c r="BT304" s="12"/>
      <c r="BU304" s="12"/>
      <c r="BV304" s="12"/>
      <c r="BW304" s="12"/>
      <c r="BX304" s="32" t="s">
        <v>25</v>
      </c>
      <c r="BY304" s="45">
        <f>K297</f>
        <v>0</v>
      </c>
      <c r="BZ304" s="45">
        <f t="shared" si="202"/>
        <v>0</v>
      </c>
      <c r="CA304" s="45">
        <f t="shared" si="202"/>
        <v>0</v>
      </c>
      <c r="CB304" s="45">
        <f t="shared" si="202"/>
        <v>0</v>
      </c>
      <c r="CC304" s="4"/>
      <c r="CD304" s="4"/>
      <c r="CE304" s="4"/>
      <c r="CF304" s="4"/>
      <c r="CG304" s="4"/>
      <c r="CH304" s="4"/>
      <c r="CI304" s="13"/>
    </row>
    <row r="305" spans="1:87" ht="18.75" customHeight="1">
      <c r="A305" s="165"/>
      <c r="B305" s="12"/>
      <c r="C305" s="50"/>
      <c r="D305" s="12"/>
      <c r="E305" s="12"/>
      <c r="F305" s="12"/>
      <c r="G305" s="12"/>
      <c r="H305" s="91"/>
      <c r="I305" s="75"/>
      <c r="J305" s="75"/>
      <c r="K305" s="92"/>
      <c r="L305" s="75"/>
      <c r="M305" s="93"/>
      <c r="N305" s="94"/>
      <c r="O305" s="42">
        <f>IF(H306=0,0,$D$271)</f>
        <v>0</v>
      </c>
      <c r="P305" s="463">
        <f>IF(O306=0,0,"軽減額")</f>
        <v>0</v>
      </c>
      <c r="Q305" s="12"/>
      <c r="R305" s="95"/>
      <c r="S305" s="49"/>
      <c r="T305" s="96" t="s">
        <v>31</v>
      </c>
      <c r="U305" s="105">
        <f>ROUNDDOWN(U304,-2)</f>
        <v>0</v>
      </c>
      <c r="V305" s="88" t="s">
        <v>6</v>
      </c>
      <c r="W305" s="30" t="s">
        <v>43</v>
      </c>
      <c r="X305" s="29">
        <f t="shared" si="197"/>
        <v>0</v>
      </c>
      <c r="Y305" s="30" t="s">
        <v>42</v>
      </c>
      <c r="Z305" s="31">
        <f>IF($AH$13&gt;0,0,BB305)</f>
        <v>0</v>
      </c>
      <c r="AA305" s="26"/>
      <c r="AB305" s="26"/>
      <c r="AC305" s="491"/>
      <c r="AD305" s="26"/>
      <c r="AE305" s="497" t="str">
        <f>IF($AH$13&gt;0,"－",IF($AG$2&gt;0,"限度超過",IF(U306=Z306,"OK","ｱﾝﾏｯﾁ")))</f>
        <v>OK</v>
      </c>
      <c r="AF305" s="496"/>
      <c r="AG305" s="73"/>
      <c r="AI305" s="174"/>
      <c r="AJ305" s="174"/>
      <c r="AK305" s="174"/>
      <c r="AL305" s="174"/>
      <c r="AM305" s="174"/>
      <c r="AN305" s="386"/>
      <c r="AO305" s="361" t="s">
        <v>43</v>
      </c>
      <c r="AP305" s="387">
        <f>ROUND(AP39*AQ301,0)</f>
        <v>0</v>
      </c>
      <c r="AQ305" s="360" t="s">
        <v>42</v>
      </c>
      <c r="AR305" s="388">
        <f>ROUND(AR39*AQ301,0)</f>
        <v>0</v>
      </c>
      <c r="AS305" s="386"/>
      <c r="AT305" s="361" t="s">
        <v>43</v>
      </c>
      <c r="AU305" s="387">
        <f>IF(AV301=0,0,IF(AV301&gt;=7,1,IF(AV301&lt;=-7,-1,0)))</f>
        <v>0</v>
      </c>
      <c r="AV305" s="389" t="s">
        <v>42</v>
      </c>
      <c r="AW305" s="388">
        <f>IF(AV301=0,0,IF(AV301&gt;=1,1,IF(AV301&lt;=-1,-1,0)))</f>
        <v>0</v>
      </c>
      <c r="AX305" s="356"/>
      <c r="AY305" s="431" t="s">
        <v>43</v>
      </c>
      <c r="AZ305" s="359">
        <f t="shared" si="198"/>
        <v>0</v>
      </c>
      <c r="BA305" s="360" t="s">
        <v>42</v>
      </c>
      <c r="BB305" s="430">
        <f>IF($AG$2&gt;0,"限度超過",AR305+AW305)</f>
        <v>0</v>
      </c>
      <c r="BC305" s="356"/>
      <c r="BD305" s="448" t="s">
        <v>43</v>
      </c>
      <c r="BE305" s="81">
        <f t="shared" si="199"/>
        <v>0</v>
      </c>
      <c r="BF305" s="82" t="s">
        <v>42</v>
      </c>
      <c r="BG305" s="29">
        <f>BG295</f>
        <v>0</v>
      </c>
      <c r="BH305" s="12"/>
      <c r="BI305" s="30" t="s">
        <v>43</v>
      </c>
      <c r="BJ305" s="29">
        <f t="shared" si="200"/>
        <v>0</v>
      </c>
      <c r="BK305" s="30" t="s">
        <v>42</v>
      </c>
      <c r="BL305" s="29">
        <f>IF($A$353=$L$353,"限度超過",IF(BG305=0,0,BG305/$S$271))</f>
        <v>0</v>
      </c>
      <c r="BM305" s="12"/>
      <c r="BN305" s="30" t="s">
        <v>43</v>
      </c>
      <c r="BO305" s="29">
        <f t="shared" si="201"/>
        <v>0</v>
      </c>
      <c r="BP305" s="30" t="s">
        <v>42</v>
      </c>
      <c r="BQ305" s="457">
        <f>IF($A$353=$L$353,"限度超過",IF($S$271&lt;=2,0,BL305))</f>
        <v>0</v>
      </c>
      <c r="BR305" s="12"/>
      <c r="BS305" s="12"/>
      <c r="BT305" s="12"/>
      <c r="BU305" s="12"/>
      <c r="BV305" s="12"/>
      <c r="BW305" s="12"/>
      <c r="BX305" s="32" t="s">
        <v>26</v>
      </c>
      <c r="BY305" s="26">
        <f>H296</f>
        <v>0</v>
      </c>
      <c r="BZ305" s="99">
        <f t="shared" si="202"/>
        <v>0</v>
      </c>
      <c r="CA305" s="99">
        <f t="shared" si="202"/>
        <v>0</v>
      </c>
      <c r="CB305" s="99">
        <f t="shared" si="202"/>
        <v>0</v>
      </c>
      <c r="CC305" s="4"/>
      <c r="CD305" s="4"/>
      <c r="CE305" s="4"/>
      <c r="CF305" s="4"/>
      <c r="CG305" s="4"/>
      <c r="CH305" s="4"/>
      <c r="CI305" s="13"/>
    </row>
    <row r="306" spans="1:87" ht="18.75" customHeight="1">
      <c r="A306" s="1378" t="s">
        <v>10</v>
      </c>
      <c r="B306" s="12"/>
      <c r="C306" s="12"/>
      <c r="D306" s="1379" t="s">
        <v>7</v>
      </c>
      <c r="E306" s="1389">
        <f>IF(H306&gt;0,$CE$274,0)</f>
        <v>0</v>
      </c>
      <c r="F306" s="97"/>
      <c r="G306" s="1010" t="s">
        <v>59</v>
      </c>
      <c r="H306" s="1390">
        <f>IF(B301=0,0,SUBTOTAL(3,B301))</f>
        <v>0</v>
      </c>
      <c r="I306" s="1385" t="s">
        <v>22</v>
      </c>
      <c r="J306" s="1010" t="s">
        <v>59</v>
      </c>
      <c r="K306" s="51">
        <f>IF(H306&gt;0,K303,0)</f>
        <v>0</v>
      </c>
      <c r="L306" s="52" t="s">
        <v>5</v>
      </c>
      <c r="M306" s="1527" t="s">
        <v>122</v>
      </c>
      <c r="N306" s="1548">
        <f>IF(O306=0,0,"―")</f>
        <v>0</v>
      </c>
      <c r="O306" s="1525">
        <f>IF(H306&lt;=0,0,IF($D$271=0,0,IF($D$271=7,BZ316,IF($D$271=5,CA316,IF($D$271=2,CB316,"間違い!")))))</f>
        <v>0</v>
      </c>
      <c r="P306" s="1526"/>
      <c r="Q306" s="1392" t="s">
        <v>130</v>
      </c>
      <c r="R306" s="1391">
        <f>IF(H306&gt;0,IF(K303=0,0,ROUNDDOWN(((E306*H306)*K306/K307)-O306,0)),0)</f>
        <v>0</v>
      </c>
      <c r="S306" s="1524" t="s">
        <v>6</v>
      </c>
      <c r="T306" s="1537" t="s">
        <v>32</v>
      </c>
      <c r="U306" s="1522">
        <f>IF($L$353=$A$353,"限度超過",U304)</f>
        <v>0</v>
      </c>
      <c r="V306" s="1512" t="s">
        <v>6</v>
      </c>
      <c r="W306" s="30" t="s">
        <v>37</v>
      </c>
      <c r="X306" s="29">
        <f t="shared" si="197"/>
        <v>0</v>
      </c>
      <c r="Y306" s="1313" t="s">
        <v>44</v>
      </c>
      <c r="Z306" s="1420">
        <f>IF($AH$13&gt;0,0,BB306)</f>
        <v>0</v>
      </c>
      <c r="AA306" s="26"/>
      <c r="AB306" s="26"/>
      <c r="AC306" s="491"/>
      <c r="AD306" s="26"/>
      <c r="AE306" s="497" t="str">
        <f>IF($AG$2&gt;0,"限度超過",IF(X302+X303+X304+X305+X306+X307+Z302+Z303+Z304+Z305=Z306,"OK","エラー"))</f>
        <v>OK</v>
      </c>
      <c r="AF306" s="1521">
        <f>IF(H306&gt;0,IF(K303=0,0,ROUNDDOWN((E306*H306)-O306,0)),0)</f>
        <v>0</v>
      </c>
      <c r="AG306" s="26"/>
      <c r="AH306" s="26"/>
      <c r="AI306" s="174"/>
      <c r="AJ306" s="174"/>
      <c r="AK306" s="174"/>
      <c r="AL306" s="174"/>
      <c r="AM306" s="174"/>
      <c r="AN306" s="386"/>
      <c r="AO306" s="361" t="s">
        <v>37</v>
      </c>
      <c r="AP306" s="387">
        <f>ROUND(AP40*AQ301,0)</f>
        <v>0</v>
      </c>
      <c r="AQ306" s="362" t="s">
        <v>44</v>
      </c>
      <c r="AR306" s="363">
        <f>AP302+AP303+AP304+AP305+AP306+AP307+AR302+AR303+AR304+AR305</f>
        <v>0</v>
      </c>
      <c r="AS306" s="386"/>
      <c r="AT306" s="361" t="s">
        <v>37</v>
      </c>
      <c r="AU306" s="387">
        <f>IF(AV301=0,0,IF(AV301&gt;=6,1,IF(AV301&lt;=-6,-1,0)))</f>
        <v>0</v>
      </c>
      <c r="AV306" s="391" t="s">
        <v>44</v>
      </c>
      <c r="AW306" s="392">
        <f>AU302+AU303+AU304+AU305+AU306+AU307+AW302+AW303+AW304+AW305</f>
        <v>0</v>
      </c>
      <c r="AX306" s="356"/>
      <c r="AY306" s="431" t="s">
        <v>37</v>
      </c>
      <c r="AZ306" s="359">
        <f t="shared" si="198"/>
        <v>0</v>
      </c>
      <c r="BA306" s="362" t="s">
        <v>44</v>
      </c>
      <c r="BB306" s="432">
        <f>IF($AG$2&gt;0,"限度超過",AZ302+AZ303+AZ304+AZ305+AZ306+AZ307+BB302+BB303+BB304+BB305)</f>
        <v>0</v>
      </c>
      <c r="BC306" s="356"/>
      <c r="BD306" s="448" t="s">
        <v>37</v>
      </c>
      <c r="BE306" s="81">
        <f t="shared" si="199"/>
        <v>0</v>
      </c>
      <c r="BF306" s="440" t="s">
        <v>44</v>
      </c>
      <c r="BG306" s="29">
        <f>IF($A$353=$L$353,"限度超過",BE302+BE303+BE304+BE305+BE306+BE307+BG302+BG303+BG304+BG305)</f>
        <v>0</v>
      </c>
      <c r="BH306" s="12"/>
      <c r="BI306" s="30" t="s">
        <v>37</v>
      </c>
      <c r="BJ306" s="29">
        <f t="shared" si="200"/>
        <v>0</v>
      </c>
      <c r="BK306" s="98" t="s">
        <v>44</v>
      </c>
      <c r="BL306" s="29">
        <f>IF($A$353=$L$353,"限度超過",BJ302+BJ303+BJ304+BJ305+BJ306+BJ307+BL302+BL303+BL304+BL305)</f>
        <v>0</v>
      </c>
      <c r="BM306" s="12"/>
      <c r="BN306" s="30" t="s">
        <v>37</v>
      </c>
      <c r="BO306" s="29">
        <f t="shared" si="201"/>
        <v>0</v>
      </c>
      <c r="BP306" s="98" t="s">
        <v>44</v>
      </c>
      <c r="BQ306" s="457">
        <f>IF($A$353=$L$353,"限度超過",BO302+BO303+BO304+BO305+BO306+BO307+BQ302+BQ303+BQ304+BQ305)</f>
        <v>0</v>
      </c>
      <c r="BR306" s="12"/>
      <c r="BS306" s="12"/>
      <c r="BT306" s="12"/>
      <c r="BU306" s="12"/>
      <c r="BV306" s="12"/>
      <c r="BW306" s="12"/>
      <c r="BX306" s="67" t="s">
        <v>27</v>
      </c>
      <c r="BY306" s="45">
        <f>IF(BY305&gt;0,ROUNDDOWN(BY302*BY305*BY303/BY304,0),0)</f>
        <v>0</v>
      </c>
      <c r="BZ306" s="45">
        <f>IF(BZ305&gt;0,ROUNDDOWN(BZ302*BZ305*BZ303/BZ304,0),0)</f>
        <v>0</v>
      </c>
      <c r="CA306" s="45">
        <f>IF(CA305&gt;0,ROUNDDOWN(CA302*CA305*CA303/CA304,0),0)</f>
        <v>0</v>
      </c>
      <c r="CB306" s="45">
        <f>IF(CB305&gt;0,ROUNDDOWN(CB302*CB305*CB303/CB304,0),0)</f>
        <v>0</v>
      </c>
      <c r="CC306" s="4"/>
      <c r="CD306" s="4"/>
      <c r="CE306" s="4"/>
      <c r="CF306" s="4"/>
      <c r="CG306" s="4"/>
      <c r="CH306" s="4"/>
      <c r="CI306" s="13"/>
    </row>
    <row r="307" spans="1:87" ht="18.75" customHeight="1">
      <c r="A307" s="1378"/>
      <c r="B307" s="12"/>
      <c r="C307" s="12"/>
      <c r="D307" s="1379"/>
      <c r="E307" s="1389"/>
      <c r="F307" s="12"/>
      <c r="G307" s="1010"/>
      <c r="H307" s="1390"/>
      <c r="I307" s="1385"/>
      <c r="J307" s="1010"/>
      <c r="K307" s="180">
        <f>IF(H306&gt;0,K304,0)</f>
        <v>0</v>
      </c>
      <c r="L307" s="12" t="s">
        <v>5</v>
      </c>
      <c r="M307" s="1527"/>
      <c r="N307" s="1548"/>
      <c r="O307" s="1526"/>
      <c r="P307" s="1526"/>
      <c r="Q307" s="1392"/>
      <c r="R307" s="1391"/>
      <c r="S307" s="1524"/>
      <c r="T307" s="1537"/>
      <c r="U307" s="1522"/>
      <c r="V307" s="1512"/>
      <c r="W307" s="30" t="s">
        <v>38</v>
      </c>
      <c r="X307" s="29">
        <f t="shared" si="197"/>
        <v>0</v>
      </c>
      <c r="Y307" s="1422"/>
      <c r="Z307" s="1421"/>
      <c r="AA307" s="26"/>
      <c r="AB307" s="26"/>
      <c r="AC307" s="491"/>
      <c r="AD307" s="26"/>
      <c r="AE307" s="486"/>
      <c r="AF307" s="1416"/>
      <c r="AG307" s="26"/>
      <c r="AH307" s="26"/>
      <c r="AI307" s="175"/>
      <c r="AJ307" s="175"/>
      <c r="AK307" s="175"/>
      <c r="AL307" s="175"/>
      <c r="AM307" s="175"/>
      <c r="AN307" s="390"/>
      <c r="AO307" s="361" t="s">
        <v>38</v>
      </c>
      <c r="AP307" s="387">
        <f>ROUND(AP41*AQ301,0)</f>
        <v>0</v>
      </c>
      <c r="AQ307" s="360" t="s">
        <v>75</v>
      </c>
      <c r="AR307" s="393">
        <f>U306</f>
        <v>0</v>
      </c>
      <c r="AS307" s="390"/>
      <c r="AT307" s="361" t="s">
        <v>38</v>
      </c>
      <c r="AU307" s="387">
        <f>IF(AV301=0,0,IF(AV301&gt;=5,1,IF(AV301&lt;=-5,-1,0)))</f>
        <v>0</v>
      </c>
      <c r="AV307" s="389"/>
      <c r="AW307" s="394" t="str">
        <f>IF(AU302+AU303+AU304+AU305+AU306+AU307+AW302+AW303+AW304+AW305=AV301,"計算ＯＫ","エラー発生")</f>
        <v>計算ＯＫ</v>
      </c>
      <c r="AX307" s="356"/>
      <c r="AY307" s="431" t="s">
        <v>38</v>
      </c>
      <c r="AZ307" s="359">
        <f t="shared" si="198"/>
        <v>0</v>
      </c>
      <c r="BA307" s="360"/>
      <c r="BB307" s="433">
        <f>IF($AG$2&gt;0,"限度超過",U306)</f>
        <v>0</v>
      </c>
      <c r="BC307" s="356"/>
      <c r="BD307" s="448" t="s">
        <v>38</v>
      </c>
      <c r="BE307" s="81">
        <f t="shared" si="199"/>
        <v>0</v>
      </c>
      <c r="BF307" s="82"/>
      <c r="BG307" s="100"/>
      <c r="BH307" s="12"/>
      <c r="BI307" s="30" t="s">
        <v>38</v>
      </c>
      <c r="BJ307" s="29">
        <f t="shared" si="200"/>
        <v>0</v>
      </c>
      <c r="BK307" s="30"/>
      <c r="BL307" s="100"/>
      <c r="BM307" s="12"/>
      <c r="BN307" s="30" t="s">
        <v>38</v>
      </c>
      <c r="BO307" s="29">
        <f t="shared" si="201"/>
        <v>0</v>
      </c>
      <c r="BP307" s="30"/>
      <c r="BQ307" s="458"/>
      <c r="BR307" s="12"/>
      <c r="BS307" s="12"/>
      <c r="BT307" s="12"/>
      <c r="BU307" s="12"/>
      <c r="BV307" s="12"/>
      <c r="BW307" s="12"/>
      <c r="BX307" s="4"/>
      <c r="BY307" s="4"/>
      <c r="BZ307" s="4"/>
      <c r="CA307" s="4"/>
      <c r="CB307" s="4"/>
      <c r="CC307" s="4"/>
      <c r="CD307" s="4"/>
      <c r="CE307" s="4"/>
      <c r="CF307" s="4"/>
      <c r="CG307" s="4"/>
      <c r="CH307" s="4"/>
      <c r="CI307" s="13"/>
    </row>
    <row r="308" spans="1:87" ht="18.75" customHeight="1">
      <c r="A308" s="200"/>
      <c r="B308" s="75" t="s">
        <v>118</v>
      </c>
      <c r="C308" s="12"/>
      <c r="D308" s="160"/>
      <c r="E308" s="161"/>
      <c r="F308" s="12"/>
      <c r="G308" s="50"/>
      <c r="H308" s="162"/>
      <c r="I308" s="159"/>
      <c r="J308" s="50"/>
      <c r="K308" s="180"/>
      <c r="L308" s="12"/>
      <c r="M308" s="86"/>
      <c r="N308" s="86"/>
      <c r="O308" s="181"/>
      <c r="P308" s="181"/>
      <c r="Q308" s="156"/>
      <c r="R308" s="157"/>
      <c r="S308" s="49"/>
      <c r="T308" s="50"/>
      <c r="U308" s="182"/>
      <c r="V308" s="50"/>
      <c r="W308" s="4"/>
      <c r="X308" s="26"/>
      <c r="Y308" s="170"/>
      <c r="Z308" s="185"/>
      <c r="AA308" s="4"/>
      <c r="AB308" s="4"/>
      <c r="AC308" s="489"/>
      <c r="AD308" s="4"/>
      <c r="AE308" s="74"/>
      <c r="AF308" s="234"/>
      <c r="AG308" s="26"/>
      <c r="AH308" s="26"/>
      <c r="AI308" s="173"/>
      <c r="AJ308" s="173"/>
      <c r="AK308" s="173"/>
      <c r="AL308" s="173"/>
      <c r="AM308" s="173"/>
      <c r="AN308" s="384"/>
      <c r="AO308" s="364"/>
      <c r="AP308" s="395"/>
      <c r="AQ308" s="365"/>
      <c r="AR308" s="365"/>
      <c r="AS308" s="384"/>
      <c r="AT308" s="384"/>
      <c r="AU308" s="384"/>
      <c r="AV308" s="384"/>
      <c r="AW308" s="384"/>
      <c r="AX308" s="356"/>
      <c r="AY308" s="434"/>
      <c r="AZ308" s="467" t="str">
        <f>IF($AG$2&gt;0,"限度超過","－")</f>
        <v>－</v>
      </c>
      <c r="BA308" s="365"/>
      <c r="BB308" s="466" t="str">
        <f>IF(BB306=BB307,"OK","エラー")</f>
        <v>OK</v>
      </c>
      <c r="BC308" s="356"/>
      <c r="BD308" s="449"/>
      <c r="BF308" s="4" t="s">
        <v>257</v>
      </c>
      <c r="BH308" s="12"/>
      <c r="BM308" s="12"/>
      <c r="BQ308" s="459"/>
      <c r="BR308" s="12"/>
      <c r="BS308" s="12"/>
      <c r="BT308" s="12"/>
      <c r="BU308" s="12"/>
      <c r="BV308" s="12"/>
      <c r="BW308" s="12"/>
      <c r="BX308" s="4"/>
      <c r="BY308" s="4"/>
      <c r="BZ308" s="4"/>
      <c r="CA308" s="4"/>
      <c r="CB308" s="4"/>
      <c r="CC308" s="4"/>
      <c r="CD308" s="4"/>
      <c r="CE308" s="4"/>
      <c r="CF308" s="4"/>
      <c r="CG308" s="4"/>
      <c r="CH308" s="4"/>
      <c r="CI308" s="13"/>
    </row>
    <row r="309" spans="1:87" ht="18.75" customHeight="1">
      <c r="A309" s="58" t="s">
        <v>1</v>
      </c>
      <c r="B309" s="52"/>
      <c r="C309" s="187">
        <f>IF(H306&gt;0,$X$279,0)</f>
        <v>0</v>
      </c>
      <c r="D309" s="201" t="s">
        <v>6</v>
      </c>
      <c r="E309" s="60" t="s">
        <v>131</v>
      </c>
      <c r="F309" s="1377">
        <f>K303</f>
        <v>0</v>
      </c>
      <c r="G309" s="1377"/>
      <c r="H309" s="214" t="s">
        <v>5</v>
      </c>
      <c r="I309" s="1388" t="s">
        <v>14</v>
      </c>
      <c r="J309" s="1388"/>
      <c r="K309" s="1377">
        <f>C309*F309</f>
        <v>0</v>
      </c>
      <c r="L309" s="1377"/>
      <c r="M309" s="202" t="s">
        <v>6</v>
      </c>
      <c r="N309" s="202"/>
      <c r="O309" s="203"/>
      <c r="P309" s="203"/>
      <c r="Q309" s="63"/>
      <c r="R309" s="204"/>
      <c r="S309" s="59"/>
      <c r="T309" s="27"/>
      <c r="U309" s="205"/>
      <c r="V309" s="27"/>
      <c r="W309" s="186"/>
      <c r="X309" s="187"/>
      <c r="Y309" s="206"/>
      <c r="Z309" s="163"/>
      <c r="AC309" s="489"/>
      <c r="AD309" s="4"/>
      <c r="AE309" s="74"/>
      <c r="AF309" s="235"/>
      <c r="AG309" s="26"/>
      <c r="AH309" s="26"/>
      <c r="AI309" s="173"/>
      <c r="AJ309" s="173"/>
      <c r="AK309" s="173"/>
      <c r="AL309" s="173"/>
      <c r="AM309" s="173"/>
      <c r="AN309" s="384"/>
      <c r="AO309" s="383" t="s">
        <v>236</v>
      </c>
      <c r="AP309" s="1400" t="s">
        <v>221</v>
      </c>
      <c r="AQ309" s="1400"/>
      <c r="AR309" s="1400"/>
      <c r="AS309" s="384"/>
      <c r="AT309" s="1452" t="s">
        <v>236</v>
      </c>
      <c r="AU309" s="1452"/>
      <c r="AV309" s="384"/>
      <c r="AW309" s="384"/>
      <c r="AX309" s="356"/>
      <c r="AY309" s="435" t="s">
        <v>236</v>
      </c>
      <c r="AZ309" s="385"/>
      <c r="BA309" s="365"/>
      <c r="BB309" s="436"/>
      <c r="BC309" s="356"/>
      <c r="BD309" s="460" t="s">
        <v>236</v>
      </c>
      <c r="BE309" s="400"/>
      <c r="BF309" s="4" t="s">
        <v>258</v>
      </c>
      <c r="BH309" s="12"/>
      <c r="BI309" s="400" t="s">
        <v>236</v>
      </c>
      <c r="BJ309" s="400"/>
      <c r="BM309" s="12"/>
      <c r="BN309" s="400" t="s">
        <v>236</v>
      </c>
      <c r="BO309" s="400"/>
      <c r="BQ309" s="459"/>
      <c r="BR309" s="12"/>
      <c r="BS309" s="12"/>
      <c r="BT309" s="12"/>
      <c r="BU309" s="12"/>
      <c r="BV309" s="12"/>
      <c r="BW309" s="12"/>
      <c r="BX309" s="4"/>
      <c r="BY309" s="4"/>
      <c r="BZ309" s="4"/>
      <c r="CA309" s="4"/>
      <c r="CB309" s="4"/>
      <c r="CC309" s="4"/>
      <c r="CD309" s="4"/>
      <c r="CE309" s="4"/>
      <c r="CF309" s="4"/>
      <c r="CG309" s="4"/>
      <c r="CH309" s="4"/>
      <c r="CI309" s="13"/>
    </row>
    <row r="310" spans="1:87" ht="18.75" customHeight="1">
      <c r="D310" s="101"/>
      <c r="E310" s="70"/>
      <c r="G310" s="9"/>
      <c r="H310" s="102"/>
      <c r="I310" s="5"/>
      <c r="J310" s="9"/>
      <c r="K310" s="18"/>
      <c r="M310" s="103"/>
      <c r="P310" s="103"/>
      <c r="Q310" s="70"/>
      <c r="R310" s="104"/>
      <c r="S310" s="68"/>
      <c r="T310" s="68"/>
      <c r="U310" s="68"/>
      <c r="V310" s="18"/>
      <c r="AA310" s="73"/>
      <c r="AB310" s="73"/>
      <c r="AC310" s="223"/>
      <c r="AD310" s="73"/>
      <c r="AE310" s="73"/>
      <c r="AF310" s="231"/>
      <c r="AG310" s="4"/>
      <c r="AH310" s="4"/>
      <c r="AI310" s="173"/>
      <c r="AJ310" s="173"/>
      <c r="AK310" s="173"/>
      <c r="AL310" s="173"/>
      <c r="AM310" s="173"/>
      <c r="AN310" s="384"/>
      <c r="AO310" s="368" t="s">
        <v>217</v>
      </c>
      <c r="AP310" s="357"/>
      <c r="AQ310" s="396"/>
      <c r="AR310" s="396"/>
      <c r="AS310" s="384"/>
      <c r="AT310" s="1454" t="s">
        <v>218</v>
      </c>
      <c r="AU310" s="1454"/>
      <c r="AV310" s="1454"/>
      <c r="AW310" s="1454"/>
      <c r="AX310" s="356"/>
      <c r="AY310" s="428" t="s">
        <v>224</v>
      </c>
      <c r="AZ310" s="1409" t="s">
        <v>223</v>
      </c>
      <c r="BA310" s="1409"/>
      <c r="BB310" s="1410"/>
      <c r="BC310" s="356"/>
      <c r="BD310" s="1426" t="s">
        <v>261</v>
      </c>
      <c r="BE310" s="1427"/>
      <c r="BF310" s="1427"/>
      <c r="BG310" s="1427"/>
      <c r="BH310" s="12"/>
      <c r="BI310" s="437" t="s">
        <v>262</v>
      </c>
      <c r="BJ310" s="1438" t="s">
        <v>260</v>
      </c>
      <c r="BK310" s="1438"/>
      <c r="BL310" s="1438"/>
      <c r="BM310" s="12"/>
      <c r="BN310" s="12"/>
      <c r="BO310" s="143" t="s">
        <v>263</v>
      </c>
      <c r="BP310" s="12" t="s">
        <v>88</v>
      </c>
      <c r="BQ310" s="446"/>
      <c r="BR310" s="12"/>
      <c r="BS310" s="12"/>
      <c r="BT310" s="12"/>
      <c r="BU310" s="12"/>
      <c r="BV310" s="12"/>
      <c r="BW310" s="12"/>
      <c r="BX310" s="4"/>
      <c r="BY310" s="4"/>
      <c r="BZ310" s="4"/>
      <c r="CA310" s="4"/>
      <c r="CB310" s="4"/>
      <c r="CC310" s="4"/>
      <c r="CD310" s="4"/>
      <c r="CE310" s="4"/>
      <c r="CF310" s="4"/>
      <c r="CG310" s="4"/>
      <c r="CH310" s="4"/>
      <c r="CI310" s="13"/>
    </row>
    <row r="311" spans="1:87" ht="18.75" customHeight="1">
      <c r="A311" s="194" t="s">
        <v>54</v>
      </c>
      <c r="B311" s="1396">
        <f>IF(I311=1,B45,0)</f>
        <v>0</v>
      </c>
      <c r="C311" s="1396"/>
      <c r="D311" s="1396"/>
      <c r="E311" s="196" t="s">
        <v>11</v>
      </c>
      <c r="F311" s="1398" t="s">
        <v>57</v>
      </c>
      <c r="G311" s="1398"/>
      <c r="H311" s="1398"/>
      <c r="I311" s="1380">
        <f>IF(I45=1,1,0)</f>
        <v>0</v>
      </c>
      <c r="J311" s="1381"/>
      <c r="K311" s="1515">
        <f>IF($AG$2&gt;0,0,IF((X313+X314+X315+X316+X317+Z312+Z313+Z314+Z315)&lt;0,"＊＊エラー介護該当者は①から入力＊＊",0))</f>
        <v>0</v>
      </c>
      <c r="L311" s="1516"/>
      <c r="M311" s="1516"/>
      <c r="N311" s="1516"/>
      <c r="O311" s="1516"/>
      <c r="P311" s="1516"/>
      <c r="Q311" s="1516"/>
      <c r="R311" s="1516"/>
      <c r="S311" s="1517"/>
      <c r="T311" s="195" t="s">
        <v>47</v>
      </c>
      <c r="U311" s="1417">
        <f>IF(U316&gt;0,"介護分",0)</f>
        <v>0</v>
      </c>
      <c r="V311" s="1418"/>
      <c r="W311" s="1419" t="s">
        <v>46</v>
      </c>
      <c r="X311" s="1278"/>
      <c r="Y311" s="1278"/>
      <c r="Z311" s="1279"/>
      <c r="AA311" s="26"/>
      <c r="AB311" s="26"/>
      <c r="AC311" s="491"/>
      <c r="AD311" s="26"/>
      <c r="AE311" s="486"/>
      <c r="AF311" s="236" t="s">
        <v>117</v>
      </c>
      <c r="AG311" s="4"/>
      <c r="AH311" s="274">
        <f>IF(K313=0,0,IF(K313&lt;12,1,0))</f>
        <v>0</v>
      </c>
      <c r="AI311" s="173"/>
      <c r="AJ311" s="173"/>
      <c r="AK311" s="173"/>
      <c r="AL311" s="173"/>
      <c r="AM311" s="173"/>
      <c r="AN311" s="397" t="s">
        <v>147</v>
      </c>
      <c r="AO311" s="1439" t="s">
        <v>46</v>
      </c>
      <c r="AP311" s="1440"/>
      <c r="AQ311" s="1441">
        <f>IF(AR50=0,0,ROUNDDOWN(AR317/AR50,8))</f>
        <v>0</v>
      </c>
      <c r="AR311" s="1442"/>
      <c r="AS311" s="384"/>
      <c r="AT311" s="1439" t="s">
        <v>213</v>
      </c>
      <c r="AU311" s="1440"/>
      <c r="AV311" s="1464">
        <f>IF($AG$272&gt;0,0,AR317-AR316)</f>
        <v>0</v>
      </c>
      <c r="AW311" s="1465"/>
      <c r="AX311" s="356"/>
      <c r="AY311" s="1466" t="s">
        <v>46</v>
      </c>
      <c r="AZ311" s="1440"/>
      <c r="BA311" s="1444">
        <f>IF(R313+R316=0,0,IF(K314&gt;K313,"期割がアンマッチ使用禁止↓",0))</f>
        <v>0</v>
      </c>
      <c r="BB311" s="1445"/>
      <c r="BC311" s="356"/>
      <c r="BD311" s="1435" t="s">
        <v>46</v>
      </c>
      <c r="BE311" s="1434"/>
      <c r="BF311" s="1431"/>
      <c r="BG311" s="1433"/>
      <c r="BH311" s="12"/>
      <c r="BI311" s="1253" t="s">
        <v>46</v>
      </c>
      <c r="BJ311" s="1434"/>
      <c r="BK311" s="1431"/>
      <c r="BL311" s="1433"/>
      <c r="BM311" s="12"/>
      <c r="BN311" s="1253" t="s">
        <v>46</v>
      </c>
      <c r="BO311" s="1434"/>
      <c r="BP311" s="1431"/>
      <c r="BQ311" s="1432"/>
      <c r="BR311" s="12"/>
      <c r="BS311" s="12"/>
      <c r="BT311" s="12"/>
      <c r="BU311" s="12"/>
      <c r="BV311" s="12"/>
      <c r="BW311" s="12"/>
      <c r="BX311" s="32"/>
      <c r="BY311" s="33" t="str">
        <f>BY301</f>
        <v>料率</v>
      </c>
      <c r="BZ311" s="33">
        <f>BZ301</f>
        <v>7</v>
      </c>
      <c r="CA311" s="33">
        <f>CA301</f>
        <v>5</v>
      </c>
      <c r="CB311" s="33">
        <f>CB301</f>
        <v>2</v>
      </c>
      <c r="CC311" s="4"/>
      <c r="CD311" s="4"/>
      <c r="CE311" s="4"/>
      <c r="CF311" s="4"/>
      <c r="CG311" s="4"/>
      <c r="CH311" s="4"/>
      <c r="CI311" s="13"/>
    </row>
    <row r="312" spans="1:87" ht="18.75" customHeight="1">
      <c r="A312" s="165"/>
      <c r="B312" s="12"/>
      <c r="C312" s="75" t="s">
        <v>33</v>
      </c>
      <c r="D312" s="12"/>
      <c r="E312" s="12"/>
      <c r="F312" s="1394" t="s">
        <v>433</v>
      </c>
      <c r="G312" s="1394"/>
      <c r="H312" s="1394"/>
      <c r="I312" s="93"/>
      <c r="J312" s="12"/>
      <c r="K312" s="76" t="s">
        <v>9</v>
      </c>
      <c r="L312" s="12"/>
      <c r="M312" s="1549">
        <f>IF(R313+R316=0, 0, IF(K314=K313,0,IF(K314&gt;K313,"年度途中で資格変動有？保険料内訳のみ使用可能",0)))</f>
        <v>0</v>
      </c>
      <c r="N312" s="1549"/>
      <c r="O312" s="1549"/>
      <c r="P312" s="1549"/>
      <c r="Q312" s="1549"/>
      <c r="R312" s="1549"/>
      <c r="S312" s="1550"/>
      <c r="T312" s="72" t="s">
        <v>30</v>
      </c>
      <c r="U312" s="105">
        <f>R313+R316</f>
        <v>0</v>
      </c>
      <c r="V312" s="88" t="s">
        <v>6</v>
      </c>
      <c r="W312" s="80" t="s">
        <v>34</v>
      </c>
      <c r="X312" s="29">
        <f t="shared" ref="X312:X317" si="203">IF($AH$13&gt;0,0,AZ312)</f>
        <v>0</v>
      </c>
      <c r="Y312" s="80" t="s">
        <v>39</v>
      </c>
      <c r="Z312" s="31">
        <f>IF($AH$13&gt;0,0,BB312)</f>
        <v>0</v>
      </c>
      <c r="AA312" s="26"/>
      <c r="AB312" s="26"/>
      <c r="AC312" s="491"/>
      <c r="AD312" s="26"/>
      <c r="AE312" s="486"/>
      <c r="AF312" s="217">
        <f>AF313+AF316+AF319</f>
        <v>0</v>
      </c>
      <c r="AG312" s="73"/>
      <c r="AH312" s="189"/>
      <c r="AI312" s="173"/>
      <c r="AJ312" s="173"/>
      <c r="AK312" s="173"/>
      <c r="AL312" s="173"/>
      <c r="AM312" s="173"/>
      <c r="AN312" s="384"/>
      <c r="AO312" s="358" t="s">
        <v>34</v>
      </c>
      <c r="AP312" s="387">
        <f>ROUND(AP46*AQ311,0)</f>
        <v>0</v>
      </c>
      <c r="AQ312" s="360" t="s">
        <v>39</v>
      </c>
      <c r="AR312" s="388">
        <f>ROUND(AR46*AQ311,0)</f>
        <v>0</v>
      </c>
      <c r="AS312" s="384"/>
      <c r="AT312" s="361" t="s">
        <v>34</v>
      </c>
      <c r="AU312" s="387">
        <f>IF(AV311=0,0,IF(AV311&gt;=10,1,IF(AV311&lt;=-10,-1,0)))</f>
        <v>0</v>
      </c>
      <c r="AV312" s="389" t="s">
        <v>39</v>
      </c>
      <c r="AW312" s="388">
        <f>IF(AV311=0,0,IF(AV311&gt;=4,1,IF(AV311&lt;=-4,-1,0)))</f>
        <v>0</v>
      </c>
      <c r="AX312" s="356"/>
      <c r="AY312" s="429" t="s">
        <v>34</v>
      </c>
      <c r="AZ312" s="359">
        <f t="shared" ref="AZ312:AZ317" si="204">IF($AG$2&gt;0,"限度超過",AP312+AU312)</f>
        <v>0</v>
      </c>
      <c r="BA312" s="360" t="s">
        <v>39</v>
      </c>
      <c r="BB312" s="430">
        <f>IF($AG$2&gt;0,"限度超過",AR312+AW312)</f>
        <v>0</v>
      </c>
      <c r="BC312" s="356"/>
      <c r="BD312" s="448" t="s">
        <v>34</v>
      </c>
      <c r="BE312" s="81">
        <f t="shared" ref="BE312:BE317" si="205">BE302</f>
        <v>0</v>
      </c>
      <c r="BF312" s="82" t="s">
        <v>39</v>
      </c>
      <c r="BG312" s="29">
        <f>BG302</f>
        <v>0</v>
      </c>
      <c r="BH312" s="12"/>
      <c r="BI312" s="80" t="s">
        <v>34</v>
      </c>
      <c r="BJ312" s="29">
        <f t="shared" ref="BJ312:BJ317" si="206">IF($A$353=$L$353,"限度超過",IF(BE312=0,0,BE312/$S$271))</f>
        <v>0</v>
      </c>
      <c r="BK312" s="80" t="s">
        <v>39</v>
      </c>
      <c r="BL312" s="29">
        <f>IF($A$353=$L$353,"限度超過",IF(BG312=0,0,BG312/$S$271))</f>
        <v>0</v>
      </c>
      <c r="BM312" s="12"/>
      <c r="BN312" s="30" t="s">
        <v>34</v>
      </c>
      <c r="BO312" s="29">
        <f t="shared" ref="BO312:BO317" si="207">IF($A$353=$L$353,"限度超過",IF($S$271&lt;=3,0,BJ312))</f>
        <v>0</v>
      </c>
      <c r="BP312" s="80" t="s">
        <v>39</v>
      </c>
      <c r="BQ312" s="457">
        <f>IF($A$353=$L$353,"限度超過",IF($S$271&lt;=3,0,BL312))</f>
        <v>0</v>
      </c>
      <c r="BR312" s="12"/>
      <c r="BS312" s="12"/>
      <c r="BT312" s="12"/>
      <c r="BU312" s="12"/>
      <c r="BV312" s="12"/>
      <c r="BW312" s="12"/>
      <c r="BX312" s="32" t="s">
        <v>17</v>
      </c>
      <c r="BY312" s="44">
        <v>0</v>
      </c>
      <c r="BZ312" s="45">
        <f>$CF$274</f>
        <v>5440</v>
      </c>
      <c r="CA312" s="45">
        <f>$CG$274</f>
        <v>3880</v>
      </c>
      <c r="CB312" s="45">
        <f>$CH$274</f>
        <v>1560</v>
      </c>
      <c r="CC312" s="4"/>
      <c r="CD312" s="4"/>
      <c r="CE312" s="4"/>
      <c r="CF312" s="4"/>
      <c r="CG312" s="4"/>
      <c r="CH312" s="4"/>
      <c r="CI312" s="13"/>
    </row>
    <row r="313" spans="1:87" ht="18.75" customHeight="1">
      <c r="A313" s="1378" t="s">
        <v>0</v>
      </c>
      <c r="B313" s="1556" t="s">
        <v>129</v>
      </c>
      <c r="C313" s="1382">
        <f>IF(K313&gt;0,C47,0)</f>
        <v>0</v>
      </c>
      <c r="D313" s="1010" t="s">
        <v>58</v>
      </c>
      <c r="E313" s="1389">
        <f>IF(H316&gt;0,$CE$277, 0)</f>
        <v>0</v>
      </c>
      <c r="F313" s="1395" t="s">
        <v>22</v>
      </c>
      <c r="G313" s="1010" t="s">
        <v>59</v>
      </c>
      <c r="H313" s="85">
        <f>IF(H316&gt;0,$CE$273,0)</f>
        <v>0</v>
      </c>
      <c r="I313" s="1385" t="s">
        <v>22</v>
      </c>
      <c r="J313" s="1010" t="s">
        <v>59</v>
      </c>
      <c r="K313" s="51">
        <f>入力画面!I29</f>
        <v>0</v>
      </c>
      <c r="L313" s="52" t="s">
        <v>5</v>
      </c>
      <c r="M313" s="1395"/>
      <c r="N313" s="1527"/>
      <c r="O313" s="86"/>
      <c r="P313" s="1392" t="s">
        <v>130</v>
      </c>
      <c r="Q313" s="1392"/>
      <c r="R313" s="1391">
        <f>ROUNDDOWN(IF(((C313-E313)*H313/H314)*K313/K314&lt;0,0,((C313-E313)*H313/H314)*K313/K314),0)</f>
        <v>0</v>
      </c>
      <c r="S313" s="1524" t="s">
        <v>6</v>
      </c>
      <c r="T313" s="72" t="s">
        <v>1</v>
      </c>
      <c r="U313" s="105">
        <f>IF(H316=0,0,K319)</f>
        <v>0</v>
      </c>
      <c r="V313" s="88" t="s">
        <v>6</v>
      </c>
      <c r="W313" s="30" t="s">
        <v>35</v>
      </c>
      <c r="X313" s="29">
        <f t="shared" si="203"/>
        <v>0</v>
      </c>
      <c r="Y313" s="30" t="s">
        <v>40</v>
      </c>
      <c r="Z313" s="31">
        <f>IF($AH$13&gt;0,0,BB313)</f>
        <v>0</v>
      </c>
      <c r="AA313" s="26"/>
      <c r="AB313" s="26"/>
      <c r="AC313" s="491"/>
      <c r="AD313" s="26"/>
      <c r="AE313" s="486"/>
      <c r="AF313" s="1416">
        <f>ROUNDDOWN(IF(((C313-E313)*H313/H314)&lt;0,0,((C313-E313)*H313/H314)),0)</f>
        <v>0</v>
      </c>
      <c r="AG313" s="26"/>
      <c r="AH313" s="26"/>
      <c r="AI313" s="174"/>
      <c r="AJ313" s="174"/>
      <c r="AK313" s="174"/>
      <c r="AL313" s="174"/>
      <c r="AM313" s="174"/>
      <c r="AN313" s="386"/>
      <c r="AO313" s="361" t="s">
        <v>35</v>
      </c>
      <c r="AP313" s="387">
        <f>ROUND(AP47*AQ311,0)</f>
        <v>0</v>
      </c>
      <c r="AQ313" s="360" t="s">
        <v>40</v>
      </c>
      <c r="AR313" s="388">
        <f>ROUND(AR47*AQ311,0)</f>
        <v>0</v>
      </c>
      <c r="AS313" s="386"/>
      <c r="AT313" s="361" t="s">
        <v>35</v>
      </c>
      <c r="AU313" s="387">
        <f>IF(AV311=0,0,IF(AV311&gt;=9,1,IF(AV311&lt;=-9,-1,0)))</f>
        <v>0</v>
      </c>
      <c r="AV313" s="389" t="s">
        <v>40</v>
      </c>
      <c r="AW313" s="388">
        <f>IF(AV311=0,0,IF(AV311&gt;=3,1,IF(AV311&lt;=-3,-1,0)))</f>
        <v>0</v>
      </c>
      <c r="AX313" s="356"/>
      <c r="AY313" s="431" t="s">
        <v>35</v>
      </c>
      <c r="AZ313" s="359">
        <f t="shared" si="204"/>
        <v>0</v>
      </c>
      <c r="BA313" s="360" t="s">
        <v>40</v>
      </c>
      <c r="BB313" s="430">
        <f>IF($AG$2&gt;0,"限度超過",AR313+AW313)</f>
        <v>0</v>
      </c>
      <c r="BC313" s="356"/>
      <c r="BD313" s="448" t="s">
        <v>35</v>
      </c>
      <c r="BE313" s="81">
        <f t="shared" si="205"/>
        <v>0</v>
      </c>
      <c r="BF313" s="82" t="s">
        <v>40</v>
      </c>
      <c r="BG313" s="29">
        <f>BG303</f>
        <v>0</v>
      </c>
      <c r="BH313" s="12"/>
      <c r="BI313" s="30" t="s">
        <v>35</v>
      </c>
      <c r="BJ313" s="29">
        <f t="shared" si="206"/>
        <v>0</v>
      </c>
      <c r="BK313" s="30" t="s">
        <v>40</v>
      </c>
      <c r="BL313" s="29">
        <f>IF($A$353=$L$353,"限度超過",IF(BG313=0,0,BG313/$S$271))</f>
        <v>0</v>
      </c>
      <c r="BM313" s="12"/>
      <c r="BN313" s="30" t="s">
        <v>35</v>
      </c>
      <c r="BO313" s="29">
        <f t="shared" si="207"/>
        <v>0</v>
      </c>
      <c r="BP313" s="30" t="s">
        <v>40</v>
      </c>
      <c r="BQ313" s="457">
        <f>IF($A$353=$L$353,"限度超過",IF($S$271&lt;=3,0,BL313))</f>
        <v>0</v>
      </c>
      <c r="BR313" s="12"/>
      <c r="BS313" s="12"/>
      <c r="BT313" s="12"/>
      <c r="BU313" s="12"/>
      <c r="BV313" s="12"/>
      <c r="BW313" s="12"/>
      <c r="BX313" s="32" t="s">
        <v>8</v>
      </c>
      <c r="BY313" s="45">
        <f>K306</f>
        <v>0</v>
      </c>
      <c r="BZ313" s="45">
        <f t="shared" ref="BZ313:CB315" si="208">BY313</f>
        <v>0</v>
      </c>
      <c r="CA313" s="45">
        <f t="shared" si="208"/>
        <v>0</v>
      </c>
      <c r="CB313" s="45">
        <f t="shared" si="208"/>
        <v>0</v>
      </c>
      <c r="CC313" s="4"/>
      <c r="CD313" s="4"/>
      <c r="CE313" s="4"/>
      <c r="CF313" s="4"/>
      <c r="CG313" s="4"/>
      <c r="CH313" s="4"/>
      <c r="CI313" s="13"/>
    </row>
    <row r="314" spans="1:87" ht="18.75" customHeight="1">
      <c r="A314" s="1378"/>
      <c r="B314" s="1556"/>
      <c r="C314" s="1382"/>
      <c r="D314" s="1010"/>
      <c r="E314" s="1389"/>
      <c r="F314" s="1395"/>
      <c r="G314" s="1010"/>
      <c r="H314" s="39">
        <v>100</v>
      </c>
      <c r="I314" s="1385"/>
      <c r="J314" s="1010"/>
      <c r="K314" s="55">
        <v>12</v>
      </c>
      <c r="L314" s="12" t="s">
        <v>5</v>
      </c>
      <c r="M314" s="1395"/>
      <c r="N314" s="1527"/>
      <c r="O314" s="86"/>
      <c r="P314" s="1392"/>
      <c r="Q314" s="1392"/>
      <c r="R314" s="1391"/>
      <c r="S314" s="1524"/>
      <c r="T314" s="72" t="s">
        <v>29</v>
      </c>
      <c r="U314" s="105">
        <f>U312+U313</f>
        <v>0</v>
      </c>
      <c r="V314" s="88" t="s">
        <v>6</v>
      </c>
      <c r="W314" s="30" t="s">
        <v>36</v>
      </c>
      <c r="X314" s="29">
        <f t="shared" si="203"/>
        <v>0</v>
      </c>
      <c r="Y314" s="30" t="s">
        <v>41</v>
      </c>
      <c r="Z314" s="31">
        <f>IF($AH$13&gt;0,0,BB314)</f>
        <v>0</v>
      </c>
      <c r="AA314" s="26"/>
      <c r="AB314" s="26"/>
      <c r="AC314" s="491"/>
      <c r="AD314" s="26"/>
      <c r="AE314" s="486"/>
      <c r="AF314" s="1416"/>
      <c r="AG314" s="26"/>
      <c r="AI314" s="174"/>
      <c r="AJ314" s="174"/>
      <c r="AK314" s="174"/>
      <c r="AL314" s="174"/>
      <c r="AM314" s="174"/>
      <c r="AN314" s="386"/>
      <c r="AO314" s="361" t="s">
        <v>36</v>
      </c>
      <c r="AP314" s="387">
        <f>ROUND(AP48*AQ311,0)</f>
        <v>0</v>
      </c>
      <c r="AQ314" s="360" t="s">
        <v>41</v>
      </c>
      <c r="AR314" s="388">
        <f>ROUND(AR48*AQ311,0)</f>
        <v>0</v>
      </c>
      <c r="AS314" s="386"/>
      <c r="AT314" s="361" t="s">
        <v>36</v>
      </c>
      <c r="AU314" s="387">
        <f>IF(AV311=0,0,IF(AV311&gt;=8,1,IF(AV311&lt;=-8,-1,0)))</f>
        <v>0</v>
      </c>
      <c r="AV314" s="389" t="s">
        <v>41</v>
      </c>
      <c r="AW314" s="388">
        <f>IF(AV311=0,0,IF(AV311&gt;=2,1,IF(AV311&lt;=-2,-1,0)))</f>
        <v>0</v>
      </c>
      <c r="AX314" s="356"/>
      <c r="AY314" s="431" t="s">
        <v>36</v>
      </c>
      <c r="AZ314" s="359">
        <f t="shared" si="204"/>
        <v>0</v>
      </c>
      <c r="BA314" s="360" t="s">
        <v>41</v>
      </c>
      <c r="BB314" s="430">
        <f>IF($AG$2&gt;0,"限度超過",AR314+AW314)</f>
        <v>0</v>
      </c>
      <c r="BC314" s="356"/>
      <c r="BD314" s="448" t="s">
        <v>36</v>
      </c>
      <c r="BE314" s="81">
        <f t="shared" si="205"/>
        <v>0</v>
      </c>
      <c r="BF314" s="82" t="s">
        <v>41</v>
      </c>
      <c r="BG314" s="29">
        <f>BG304</f>
        <v>0</v>
      </c>
      <c r="BH314" s="12"/>
      <c r="BI314" s="30" t="s">
        <v>36</v>
      </c>
      <c r="BJ314" s="29">
        <f t="shared" si="206"/>
        <v>0</v>
      </c>
      <c r="BK314" s="30" t="s">
        <v>41</v>
      </c>
      <c r="BL314" s="29">
        <f>IF($A$353=$L$353,"限度超過",IF(BG314=0,0,BG314/$S$271))</f>
        <v>0</v>
      </c>
      <c r="BM314" s="12"/>
      <c r="BN314" s="30" t="s">
        <v>36</v>
      </c>
      <c r="BO314" s="29">
        <f t="shared" si="207"/>
        <v>0</v>
      </c>
      <c r="BP314" s="30" t="s">
        <v>41</v>
      </c>
      <c r="BQ314" s="457">
        <f>IF($A$353=$L$353,"限度超過",IF($S$271&lt;=3,0,BL314))</f>
        <v>0</v>
      </c>
      <c r="BR314" s="12"/>
      <c r="BS314" s="12"/>
      <c r="BT314" s="12"/>
      <c r="BU314" s="12"/>
      <c r="BV314" s="12"/>
      <c r="BW314" s="12"/>
      <c r="BX314" s="32" t="s">
        <v>25</v>
      </c>
      <c r="BY314" s="45">
        <f>K307</f>
        <v>0</v>
      </c>
      <c r="BZ314" s="45">
        <f t="shared" si="208"/>
        <v>0</v>
      </c>
      <c r="CA314" s="45">
        <f t="shared" si="208"/>
        <v>0</v>
      </c>
      <c r="CB314" s="45">
        <f t="shared" si="208"/>
        <v>0</v>
      </c>
      <c r="CC314" s="4"/>
      <c r="CD314" s="4"/>
      <c r="CE314" s="4"/>
      <c r="CF314" s="4"/>
      <c r="CG314" s="4"/>
      <c r="CH314" s="4"/>
      <c r="CI314" s="13"/>
    </row>
    <row r="315" spans="1:87" ht="18.75" customHeight="1">
      <c r="A315" s="165"/>
      <c r="B315" s="12"/>
      <c r="C315" s="50"/>
      <c r="D315" s="12"/>
      <c r="E315" s="12"/>
      <c r="F315" s="12"/>
      <c r="G315" s="12"/>
      <c r="H315" s="91"/>
      <c r="I315" s="75"/>
      <c r="J315" s="75"/>
      <c r="K315" s="92"/>
      <c r="L315" s="75"/>
      <c r="M315" s="93"/>
      <c r="N315" s="94"/>
      <c r="O315" s="42">
        <f>IF(H316=0,0,$D$271)</f>
        <v>0</v>
      </c>
      <c r="P315" s="463">
        <f>IF(O316=0,0,"軽減額")</f>
        <v>0</v>
      </c>
      <c r="Q315" s="12"/>
      <c r="R315" s="95"/>
      <c r="S315" s="49"/>
      <c r="T315" s="96" t="s">
        <v>31</v>
      </c>
      <c r="U315" s="105">
        <f>ROUNDDOWN(U314,-2)</f>
        <v>0</v>
      </c>
      <c r="V315" s="88" t="s">
        <v>6</v>
      </c>
      <c r="W315" s="30" t="s">
        <v>43</v>
      </c>
      <c r="X315" s="29">
        <f t="shared" si="203"/>
        <v>0</v>
      </c>
      <c r="Y315" s="30" t="s">
        <v>42</v>
      </c>
      <c r="Z315" s="31">
        <f>IF($AH$13&gt;0,0,BB315)</f>
        <v>0</v>
      </c>
      <c r="AA315" s="26"/>
      <c r="AB315" s="26"/>
      <c r="AC315" s="491"/>
      <c r="AD315" s="26"/>
      <c r="AE315" s="497" t="str">
        <f>IF($AH$13&gt;0,"－",IF($AG$2&gt;0,"限度超過",IF(U316=Z316,"OK","ｱﾝﾏｯﾁ")))</f>
        <v>OK</v>
      </c>
      <c r="AF315" s="496"/>
      <c r="AG315" s="26"/>
      <c r="AI315" s="174"/>
      <c r="AJ315" s="174"/>
      <c r="AK315" s="174"/>
      <c r="AL315" s="174"/>
      <c r="AM315" s="174"/>
      <c r="AN315" s="386"/>
      <c r="AO315" s="361" t="s">
        <v>43</v>
      </c>
      <c r="AP315" s="387">
        <f>ROUND(AP49*AQ311,0)</f>
        <v>0</v>
      </c>
      <c r="AQ315" s="360" t="s">
        <v>42</v>
      </c>
      <c r="AR315" s="388">
        <f>ROUND(AR49*AQ311,0)</f>
        <v>0</v>
      </c>
      <c r="AS315" s="386"/>
      <c r="AT315" s="361" t="s">
        <v>43</v>
      </c>
      <c r="AU315" s="387">
        <f>IF(AV311=0,0,IF(AV311&gt;=7,1,IF(AV311&lt;=-7,-1,0)))</f>
        <v>0</v>
      </c>
      <c r="AV315" s="389" t="s">
        <v>42</v>
      </c>
      <c r="AW315" s="388">
        <f>IF(AV311=0,0,IF(AV311&gt;=1,1,IF(AV311&lt;=-1,-1,0)))</f>
        <v>0</v>
      </c>
      <c r="AX315" s="356"/>
      <c r="AY315" s="431" t="s">
        <v>43</v>
      </c>
      <c r="AZ315" s="359">
        <f t="shared" si="204"/>
        <v>0</v>
      </c>
      <c r="BA315" s="360" t="s">
        <v>42</v>
      </c>
      <c r="BB315" s="430">
        <f>IF($AG$2&gt;0,"限度超過",AR315+AW315)</f>
        <v>0</v>
      </c>
      <c r="BC315" s="356"/>
      <c r="BD315" s="448" t="s">
        <v>43</v>
      </c>
      <c r="BE315" s="81">
        <f t="shared" si="205"/>
        <v>0</v>
      </c>
      <c r="BF315" s="82" t="s">
        <v>42</v>
      </c>
      <c r="BG315" s="29">
        <f>BG305</f>
        <v>0</v>
      </c>
      <c r="BH315" s="12"/>
      <c r="BI315" s="30" t="s">
        <v>43</v>
      </c>
      <c r="BJ315" s="29">
        <f t="shared" si="206"/>
        <v>0</v>
      </c>
      <c r="BK315" s="30" t="s">
        <v>42</v>
      </c>
      <c r="BL315" s="29">
        <f>IF($A$353=$L$353,"限度超過",IF(BG315=0,0,BG315/$S$271))</f>
        <v>0</v>
      </c>
      <c r="BM315" s="12"/>
      <c r="BN315" s="30" t="s">
        <v>43</v>
      </c>
      <c r="BO315" s="29">
        <f t="shared" si="207"/>
        <v>0</v>
      </c>
      <c r="BP315" s="30" t="s">
        <v>42</v>
      </c>
      <c r="BQ315" s="457">
        <f>IF($A$353=$L$353,"限度超過",IF($S$271&lt;=3,0,BL315))</f>
        <v>0</v>
      </c>
      <c r="BR315" s="12"/>
      <c r="BS315" s="12"/>
      <c r="BT315" s="12"/>
      <c r="BU315" s="12"/>
      <c r="BV315" s="12"/>
      <c r="BW315" s="12"/>
      <c r="BX315" s="32" t="s">
        <v>26</v>
      </c>
      <c r="BY315" s="26">
        <f>H306</f>
        <v>0</v>
      </c>
      <c r="BZ315" s="99">
        <f t="shared" si="208"/>
        <v>0</v>
      </c>
      <c r="CA315" s="99">
        <f t="shared" si="208"/>
        <v>0</v>
      </c>
      <c r="CB315" s="99">
        <f t="shared" si="208"/>
        <v>0</v>
      </c>
      <c r="CC315" s="4"/>
      <c r="CD315" s="4"/>
      <c r="CE315" s="4"/>
      <c r="CF315" s="4"/>
      <c r="CG315" s="4"/>
      <c r="CH315" s="4"/>
      <c r="CI315" s="13"/>
    </row>
    <row r="316" spans="1:87" ht="18.75" customHeight="1">
      <c r="A316" s="1378" t="s">
        <v>10</v>
      </c>
      <c r="B316" s="12"/>
      <c r="C316" s="12"/>
      <c r="D316" s="1379" t="s">
        <v>7</v>
      </c>
      <c r="E316" s="1389">
        <f>IF(H316&gt;0,$CE$274,0)</f>
        <v>0</v>
      </c>
      <c r="F316" s="97"/>
      <c r="G316" s="1010" t="s">
        <v>59</v>
      </c>
      <c r="H316" s="1390">
        <f>IF(B311=0,0,SUBTOTAL(3,B311))</f>
        <v>0</v>
      </c>
      <c r="I316" s="1385" t="s">
        <v>22</v>
      </c>
      <c r="J316" s="1010" t="s">
        <v>59</v>
      </c>
      <c r="K316" s="51">
        <f>IF(H316&gt;0,K313,0)</f>
        <v>0</v>
      </c>
      <c r="L316" s="52" t="s">
        <v>5</v>
      </c>
      <c r="M316" s="1527" t="s">
        <v>122</v>
      </c>
      <c r="N316" s="1548">
        <f>IF(O316=0,0,"―")</f>
        <v>0</v>
      </c>
      <c r="O316" s="1525">
        <f>IF(H316&lt;=0,0,IF($D$271=0,0,IF($D$271=7,BZ326,IF($D$271=5,CA326,IF($D$271=2,CB326,"間違い!")))))</f>
        <v>0</v>
      </c>
      <c r="P316" s="1526"/>
      <c r="Q316" s="1392" t="s">
        <v>130</v>
      </c>
      <c r="R316" s="1391">
        <f>IF(H316&gt;0,IF(K313=0,0,ROUNDDOWN(((E316*H316)*K316/K317)-O316,0)),0)</f>
        <v>0</v>
      </c>
      <c r="S316" s="1524" t="s">
        <v>6</v>
      </c>
      <c r="T316" s="1537" t="s">
        <v>32</v>
      </c>
      <c r="U316" s="1522">
        <f>IF($L$353=$A$353,"限度超過",U314)</f>
        <v>0</v>
      </c>
      <c r="V316" s="1512" t="s">
        <v>6</v>
      </c>
      <c r="W316" s="30" t="s">
        <v>37</v>
      </c>
      <c r="X316" s="29">
        <f t="shared" si="203"/>
        <v>0</v>
      </c>
      <c r="Y316" s="1313" t="s">
        <v>44</v>
      </c>
      <c r="Z316" s="1420">
        <f>IF($AH$13&gt;0,0,BB316)</f>
        <v>0</v>
      </c>
      <c r="AA316" s="4"/>
      <c r="AB316" s="4"/>
      <c r="AC316" s="489"/>
      <c r="AD316" s="4"/>
      <c r="AE316" s="497" t="str">
        <f>IF($AG$2&gt;0,"限度超過",IF(X312+X313+X314+X315+X316+X317+Z312+Z313+Z314+Z315=Z316,"OK","エラー"))</f>
        <v>OK</v>
      </c>
      <c r="AF316" s="1521">
        <f>IF(H316&gt;0,IF(K313=0,0,ROUNDDOWN((E316*H316)-O316,0)),0)</f>
        <v>0</v>
      </c>
      <c r="AG316" s="26"/>
      <c r="AH316" s="26"/>
      <c r="AI316" s="174"/>
      <c r="AJ316" s="174"/>
      <c r="AK316" s="174"/>
      <c r="AL316" s="174"/>
      <c r="AM316" s="174"/>
      <c r="AN316" s="386"/>
      <c r="AO316" s="361" t="s">
        <v>37</v>
      </c>
      <c r="AP316" s="387">
        <f>ROUND(AP50*AQ311,0)</f>
        <v>0</v>
      </c>
      <c r="AQ316" s="362" t="s">
        <v>44</v>
      </c>
      <c r="AR316" s="363">
        <f>AP312+AP313+AP314+AP315+AP316+AP317+AR312+AR313+AR314+AR315</f>
        <v>0</v>
      </c>
      <c r="AS316" s="386"/>
      <c r="AT316" s="361" t="s">
        <v>37</v>
      </c>
      <c r="AU316" s="387">
        <f>IF(AV311=0,0,IF(AV311&gt;=6,1,IF(AV311&lt;=-6,-1,0)))</f>
        <v>0</v>
      </c>
      <c r="AV316" s="391" t="s">
        <v>44</v>
      </c>
      <c r="AW316" s="392">
        <f>AU312+AU313+AU314+AU315+AU316+AU317+AW312+AW313+AW314+AW315</f>
        <v>0</v>
      </c>
      <c r="AX316" s="356"/>
      <c r="AY316" s="431" t="s">
        <v>37</v>
      </c>
      <c r="AZ316" s="359">
        <f t="shared" si="204"/>
        <v>0</v>
      </c>
      <c r="BA316" s="362" t="s">
        <v>44</v>
      </c>
      <c r="BB316" s="432">
        <f>IF($AG$2&gt;0,"限度超過",AZ312+AZ313+AZ314+AZ315+AZ316+AZ317+BB312+BB313+BB314+BB315)</f>
        <v>0</v>
      </c>
      <c r="BC316" s="356"/>
      <c r="BD316" s="448" t="s">
        <v>37</v>
      </c>
      <c r="BE316" s="81">
        <f t="shared" si="205"/>
        <v>0</v>
      </c>
      <c r="BF316" s="440" t="s">
        <v>44</v>
      </c>
      <c r="BG316" s="29">
        <f>IF($A$353=$L$353,"限度超過",BE312+BE313+BE314+BE315+BE316+BE317+BG312+BG313+BG314+BG315)</f>
        <v>0</v>
      </c>
      <c r="BH316" s="12"/>
      <c r="BI316" s="30" t="s">
        <v>37</v>
      </c>
      <c r="BJ316" s="29">
        <f t="shared" si="206"/>
        <v>0</v>
      </c>
      <c r="BK316" s="98" t="s">
        <v>44</v>
      </c>
      <c r="BL316" s="29">
        <f>IF($A$353=$L$353,"限度超過",BJ312+BJ313+BJ314+BJ315+BJ316+BJ317+BL312+BL313+BL314+BL315)</f>
        <v>0</v>
      </c>
      <c r="BM316" s="12"/>
      <c r="BN316" s="30" t="s">
        <v>37</v>
      </c>
      <c r="BO316" s="29">
        <f t="shared" si="207"/>
        <v>0</v>
      </c>
      <c r="BP316" s="98" t="s">
        <v>44</v>
      </c>
      <c r="BQ316" s="457">
        <f>IF($A$353=$L$353,"限度超過",BO312+BO313+BO314+BO315+BO316+BO317+BQ312+BQ313+BQ314+BQ315)</f>
        <v>0</v>
      </c>
      <c r="BR316" s="12"/>
      <c r="BS316" s="12"/>
      <c r="BT316" s="12"/>
      <c r="BU316" s="12"/>
      <c r="BV316" s="12"/>
      <c r="BW316" s="12"/>
      <c r="BX316" s="67" t="s">
        <v>27</v>
      </c>
      <c r="BY316" s="45">
        <f>IF(BY315&gt;0,ROUNDDOWN(BY312*BY315*BY313/BY314,0),0)</f>
        <v>0</v>
      </c>
      <c r="BZ316" s="45">
        <f>IF(BZ315&gt;0,ROUNDDOWN(BZ312*BZ315*BZ313/BZ314,0),0)</f>
        <v>0</v>
      </c>
      <c r="CA316" s="45">
        <f>IF(CA315&gt;0,ROUNDDOWN(CA312*CA315*CA313/CA314,0),0)</f>
        <v>0</v>
      </c>
      <c r="CB316" s="45">
        <f>IF(CB315&gt;0,ROUNDDOWN(CB312*CB315*CB313/CB314,0),0)</f>
        <v>0</v>
      </c>
      <c r="CC316" s="4"/>
      <c r="CD316" s="4"/>
      <c r="CE316" s="4"/>
      <c r="CF316" s="4"/>
      <c r="CG316" s="4"/>
      <c r="CH316" s="4"/>
      <c r="CI316" s="13"/>
    </row>
    <row r="317" spans="1:87" ht="18.75" customHeight="1">
      <c r="A317" s="1378"/>
      <c r="B317" s="12"/>
      <c r="C317" s="12"/>
      <c r="D317" s="1379"/>
      <c r="E317" s="1389"/>
      <c r="F317" s="12"/>
      <c r="G317" s="1010"/>
      <c r="H317" s="1390"/>
      <c r="I317" s="1385"/>
      <c r="J317" s="1010"/>
      <c r="K317" s="180">
        <f>IF(H316&gt;0,K314,0)</f>
        <v>0</v>
      </c>
      <c r="L317" s="12" t="s">
        <v>5</v>
      </c>
      <c r="M317" s="1527"/>
      <c r="N317" s="1548"/>
      <c r="O317" s="1526"/>
      <c r="P317" s="1526"/>
      <c r="Q317" s="1392"/>
      <c r="R317" s="1391"/>
      <c r="S317" s="1524"/>
      <c r="T317" s="1537"/>
      <c r="U317" s="1522"/>
      <c r="V317" s="1512"/>
      <c r="W317" s="30" t="s">
        <v>38</v>
      </c>
      <c r="X317" s="29">
        <f t="shared" si="203"/>
        <v>0</v>
      </c>
      <c r="Y317" s="1422"/>
      <c r="Z317" s="1421"/>
      <c r="AC317" s="489"/>
      <c r="AD317" s="4"/>
      <c r="AE317" s="74"/>
      <c r="AF317" s="1416"/>
      <c r="AG317" s="26"/>
      <c r="AH317" s="26"/>
      <c r="AI317" s="174"/>
      <c r="AJ317" s="174"/>
      <c r="AK317" s="174"/>
      <c r="AL317" s="174"/>
      <c r="AM317" s="174"/>
      <c r="AN317" s="386"/>
      <c r="AO317" s="361" t="s">
        <v>38</v>
      </c>
      <c r="AP317" s="387">
        <f>ROUND(AP51*AQ311,0)</f>
        <v>0</v>
      </c>
      <c r="AQ317" s="360" t="s">
        <v>75</v>
      </c>
      <c r="AR317" s="393">
        <f>U316</f>
        <v>0</v>
      </c>
      <c r="AS317" s="386"/>
      <c r="AT317" s="361" t="s">
        <v>38</v>
      </c>
      <c r="AU317" s="387">
        <f>IF(AV311=0,0,IF(AV311&gt;=5,1,IF(AV311&lt;=-5,-1,0)))</f>
        <v>0</v>
      </c>
      <c r="AV317" s="389"/>
      <c r="AW317" s="394" t="str">
        <f>IF(AU312+AU313+AU314+AU315+AU316+AU317+AW312+AW313+AW314+AW315=AV311,"計算ＯＫ","エラー発生")</f>
        <v>計算ＯＫ</v>
      </c>
      <c r="AX317" s="356"/>
      <c r="AY317" s="431" t="s">
        <v>38</v>
      </c>
      <c r="AZ317" s="359">
        <f t="shared" si="204"/>
        <v>0</v>
      </c>
      <c r="BA317" s="360"/>
      <c r="BB317" s="433">
        <f>IF($AG$2&gt;0,"限度超過",U316)</f>
        <v>0</v>
      </c>
      <c r="BC317" s="356"/>
      <c r="BD317" s="448" t="s">
        <v>38</v>
      </c>
      <c r="BE317" s="81">
        <f t="shared" si="205"/>
        <v>0</v>
      </c>
      <c r="BF317" s="82"/>
      <c r="BG317" s="100"/>
      <c r="BH317" s="12"/>
      <c r="BI317" s="30" t="s">
        <v>38</v>
      </c>
      <c r="BJ317" s="29">
        <f t="shared" si="206"/>
        <v>0</v>
      </c>
      <c r="BK317" s="30"/>
      <c r="BL317" s="100"/>
      <c r="BM317" s="12"/>
      <c r="BN317" s="30" t="s">
        <v>38</v>
      </c>
      <c r="BO317" s="29">
        <f t="shared" si="207"/>
        <v>0</v>
      </c>
      <c r="BP317" s="30"/>
      <c r="BQ317" s="458"/>
      <c r="BR317" s="12"/>
      <c r="BS317" s="12"/>
      <c r="BT317" s="12"/>
      <c r="BU317" s="12"/>
      <c r="BV317" s="12"/>
      <c r="BW317" s="12"/>
      <c r="BX317" s="4"/>
      <c r="BY317" s="4"/>
      <c r="BZ317" s="4"/>
      <c r="CA317" s="4"/>
      <c r="CB317" s="4"/>
      <c r="CC317" s="4"/>
      <c r="CD317" s="4"/>
      <c r="CE317" s="4"/>
      <c r="CF317" s="4"/>
      <c r="CG317" s="4"/>
      <c r="CH317" s="4"/>
      <c r="CI317" s="13"/>
    </row>
    <row r="318" spans="1:87" ht="18.75" customHeight="1">
      <c r="A318" s="200"/>
      <c r="B318" s="75" t="s">
        <v>118</v>
      </c>
      <c r="C318" s="12"/>
      <c r="D318" s="160"/>
      <c r="E318" s="161"/>
      <c r="F318" s="12"/>
      <c r="G318" s="50"/>
      <c r="H318" s="162"/>
      <c r="I318" s="159"/>
      <c r="J318" s="50"/>
      <c r="K318" s="180"/>
      <c r="L318" s="12"/>
      <c r="M318" s="86"/>
      <c r="N318" s="86"/>
      <c r="O318" s="181"/>
      <c r="P318" s="181"/>
      <c r="Q318" s="156"/>
      <c r="R318" s="157"/>
      <c r="S318" s="49"/>
      <c r="T318" s="50"/>
      <c r="U318" s="182"/>
      <c r="V318" s="50"/>
      <c r="W318" s="4"/>
      <c r="X318" s="26"/>
      <c r="Y318" s="170"/>
      <c r="Z318" s="185"/>
      <c r="AC318" s="489"/>
      <c r="AD318" s="4"/>
      <c r="AE318" s="74"/>
      <c r="AF318" s="234"/>
      <c r="AG318" s="4"/>
      <c r="AH318" s="4"/>
      <c r="AI318" s="174"/>
      <c r="AJ318" s="174"/>
      <c r="AK318" s="174"/>
      <c r="AL318" s="174"/>
      <c r="AM318" s="174"/>
      <c r="AN318" s="386"/>
      <c r="AO318" s="364"/>
      <c r="AP318" s="395"/>
      <c r="AQ318" s="365"/>
      <c r="AR318" s="365"/>
      <c r="AS318" s="386"/>
      <c r="AT318" s="386"/>
      <c r="AU318" s="386"/>
      <c r="AV318" s="386"/>
      <c r="AW318" s="386"/>
      <c r="AX318" s="356"/>
      <c r="AY318" s="434"/>
      <c r="AZ318" s="467" t="str">
        <f>IF($AG$2&gt;0,"限度超過","－")</f>
        <v>－</v>
      </c>
      <c r="BA318" s="365"/>
      <c r="BB318" s="466" t="str">
        <f>IF(BB316=BB317,"OK","エラー")</f>
        <v>OK</v>
      </c>
      <c r="BC318" s="356"/>
      <c r="BD318" s="449"/>
      <c r="BF318" s="4" t="s">
        <v>257</v>
      </c>
      <c r="BH318" s="12"/>
      <c r="BM318" s="12"/>
      <c r="BQ318" s="459"/>
      <c r="BR318" s="12"/>
      <c r="BS318" s="12"/>
      <c r="BT318" s="12"/>
      <c r="BU318" s="12"/>
      <c r="BV318" s="12"/>
      <c r="BW318" s="12"/>
      <c r="BX318" s="4"/>
      <c r="BY318" s="4"/>
      <c r="BZ318" s="4"/>
      <c r="CA318" s="4"/>
      <c r="CB318" s="4"/>
      <c r="CC318" s="4"/>
      <c r="CD318" s="4"/>
      <c r="CE318" s="4"/>
      <c r="CF318" s="4"/>
      <c r="CG318" s="4"/>
      <c r="CH318" s="4"/>
      <c r="CI318" s="13"/>
    </row>
    <row r="319" spans="1:87" ht="18.75" customHeight="1">
      <c r="A319" s="58" t="s">
        <v>1</v>
      </c>
      <c r="B319" s="52"/>
      <c r="C319" s="187">
        <f>IF(H316&gt;0,$X$279,0)</f>
        <v>0</v>
      </c>
      <c r="D319" s="201" t="s">
        <v>6</v>
      </c>
      <c r="E319" s="60" t="s">
        <v>131</v>
      </c>
      <c r="F319" s="1377">
        <f>K313</f>
        <v>0</v>
      </c>
      <c r="G319" s="1377"/>
      <c r="H319" s="214" t="s">
        <v>5</v>
      </c>
      <c r="I319" s="1388" t="s">
        <v>14</v>
      </c>
      <c r="J319" s="1388"/>
      <c r="K319" s="1377">
        <f>C319*F319</f>
        <v>0</v>
      </c>
      <c r="L319" s="1377"/>
      <c r="M319" s="202" t="s">
        <v>6</v>
      </c>
      <c r="N319" s="202"/>
      <c r="O319" s="203"/>
      <c r="P319" s="203"/>
      <c r="Q319" s="63"/>
      <c r="R319" s="204"/>
      <c r="S319" s="59"/>
      <c r="T319" s="27"/>
      <c r="U319" s="205"/>
      <c r="V319" s="27"/>
      <c r="W319" s="186"/>
      <c r="X319" s="187"/>
      <c r="Y319" s="206"/>
      <c r="Z319" s="163"/>
      <c r="AC319" s="489"/>
      <c r="AD319" s="4"/>
      <c r="AE319" s="74"/>
      <c r="AF319" s="235"/>
      <c r="AG319" s="4"/>
      <c r="AH319" s="4"/>
      <c r="AI319" s="174"/>
      <c r="AJ319" s="174"/>
      <c r="AK319" s="174"/>
      <c r="AL319" s="174"/>
      <c r="AM319" s="174"/>
      <c r="AN319" s="386"/>
      <c r="AO319" s="383" t="s">
        <v>237</v>
      </c>
      <c r="AP319" s="1400" t="s">
        <v>221</v>
      </c>
      <c r="AQ319" s="1400"/>
      <c r="AR319" s="1400"/>
      <c r="AS319" s="386"/>
      <c r="AT319" s="1452" t="s">
        <v>237</v>
      </c>
      <c r="AU319" s="1452"/>
      <c r="AV319" s="384"/>
      <c r="AW319" s="384"/>
      <c r="AX319" s="356"/>
      <c r="AY319" s="435" t="s">
        <v>237</v>
      </c>
      <c r="AZ319" s="385"/>
      <c r="BA319" s="365"/>
      <c r="BB319" s="436"/>
      <c r="BC319" s="356"/>
      <c r="BD319" s="460" t="s">
        <v>237</v>
      </c>
      <c r="BE319" s="400"/>
      <c r="BF319" s="4" t="s">
        <v>258</v>
      </c>
      <c r="BH319" s="12"/>
      <c r="BI319" s="400" t="s">
        <v>237</v>
      </c>
      <c r="BJ319" s="400"/>
      <c r="BM319" s="12"/>
      <c r="BN319" s="400" t="s">
        <v>237</v>
      </c>
      <c r="BO319" s="400"/>
      <c r="BQ319" s="459"/>
      <c r="BR319" s="12"/>
      <c r="BS319" s="12"/>
      <c r="BT319" s="12"/>
      <c r="BU319" s="12"/>
      <c r="BV319" s="12"/>
      <c r="BW319" s="12"/>
      <c r="BX319" s="4"/>
      <c r="BY319" s="4"/>
      <c r="BZ319" s="4"/>
      <c r="CA319" s="4"/>
      <c r="CB319" s="4"/>
      <c r="CC319" s="4"/>
      <c r="CD319" s="4"/>
      <c r="CE319" s="4"/>
      <c r="CF319" s="4"/>
      <c r="CG319" s="4"/>
      <c r="CH319" s="4"/>
      <c r="CI319" s="13"/>
    </row>
    <row r="320" spans="1:87" ht="18.75" customHeight="1">
      <c r="D320" s="101"/>
      <c r="E320" s="70"/>
      <c r="G320" s="9"/>
      <c r="H320" s="102"/>
      <c r="I320" s="5"/>
      <c r="J320" s="9"/>
      <c r="K320" s="18"/>
      <c r="M320" s="103"/>
      <c r="P320" s="103"/>
      <c r="Q320" s="70"/>
      <c r="R320" s="104"/>
      <c r="S320" s="68"/>
      <c r="T320" s="68"/>
      <c r="U320" s="68"/>
      <c r="V320" s="18"/>
      <c r="AC320" s="489"/>
      <c r="AD320" s="4"/>
      <c r="AE320" s="74"/>
      <c r="AF320" s="231"/>
      <c r="AG320" s="26"/>
      <c r="AH320" s="26"/>
      <c r="AI320" s="174"/>
      <c r="AJ320" s="174"/>
      <c r="AK320" s="174"/>
      <c r="AL320" s="174"/>
      <c r="AM320" s="174"/>
      <c r="AN320" s="386"/>
      <c r="AO320" s="368" t="s">
        <v>217</v>
      </c>
      <c r="AP320" s="357"/>
      <c r="AQ320" s="396"/>
      <c r="AR320" s="396"/>
      <c r="AS320" s="386"/>
      <c r="AT320" s="1454" t="s">
        <v>218</v>
      </c>
      <c r="AU320" s="1454"/>
      <c r="AV320" s="1454"/>
      <c r="AW320" s="1454"/>
      <c r="AX320" s="356"/>
      <c r="AY320" s="428" t="s">
        <v>224</v>
      </c>
      <c r="AZ320" s="1409" t="s">
        <v>223</v>
      </c>
      <c r="BA320" s="1409"/>
      <c r="BB320" s="1410"/>
      <c r="BC320" s="356"/>
      <c r="BD320" s="1426" t="s">
        <v>261</v>
      </c>
      <c r="BE320" s="1427"/>
      <c r="BF320" s="1427"/>
      <c r="BG320" s="1427"/>
      <c r="BH320" s="12"/>
      <c r="BI320" s="437" t="s">
        <v>262</v>
      </c>
      <c r="BJ320" s="1438" t="s">
        <v>260</v>
      </c>
      <c r="BK320" s="1438"/>
      <c r="BL320" s="1438"/>
      <c r="BM320" s="12"/>
      <c r="BN320" s="12"/>
      <c r="BO320" s="143" t="s">
        <v>263</v>
      </c>
      <c r="BP320" s="12" t="s">
        <v>88</v>
      </c>
      <c r="BQ320" s="446"/>
      <c r="BR320" s="12"/>
      <c r="BS320" s="12"/>
      <c r="BT320" s="12"/>
      <c r="BU320" s="12"/>
      <c r="BV320" s="12"/>
      <c r="BW320" s="12"/>
      <c r="BX320" s="4"/>
      <c r="BY320" s="4"/>
      <c r="BZ320" s="4"/>
      <c r="CA320" s="4"/>
      <c r="CB320" s="4"/>
      <c r="CC320" s="4"/>
      <c r="CD320" s="4"/>
      <c r="CE320" s="4"/>
      <c r="CF320" s="4"/>
      <c r="CG320" s="4"/>
      <c r="CH320" s="4"/>
      <c r="CI320" s="13"/>
    </row>
    <row r="321" spans="1:87" ht="18.75" customHeight="1">
      <c r="A321" s="194" t="s">
        <v>55</v>
      </c>
      <c r="B321" s="1396">
        <f>IF(I321=1,B55,0)</f>
        <v>0</v>
      </c>
      <c r="C321" s="1396"/>
      <c r="D321" s="1396"/>
      <c r="E321" s="196" t="s">
        <v>11</v>
      </c>
      <c r="F321" s="1398" t="s">
        <v>57</v>
      </c>
      <c r="G321" s="1398"/>
      <c r="H321" s="1398"/>
      <c r="I321" s="1380">
        <f>IF(I55=1,1,0)</f>
        <v>0</v>
      </c>
      <c r="J321" s="1381"/>
      <c r="K321" s="1515">
        <f>IF($AG$2&gt;0,0,IF((X323+X324+X325+X326+X327+Z322+Z323+Z324+Z325)&lt;0,"＊＊エラー介護該当者は①から入力＊＊",0))</f>
        <v>0</v>
      </c>
      <c r="L321" s="1516"/>
      <c r="M321" s="1516"/>
      <c r="N321" s="1516"/>
      <c r="O321" s="1516"/>
      <c r="P321" s="1516"/>
      <c r="Q321" s="1516"/>
      <c r="R321" s="1516"/>
      <c r="S321" s="1517"/>
      <c r="T321" s="195" t="s">
        <v>47</v>
      </c>
      <c r="U321" s="1417">
        <f>IF(U326&gt;0,"介護分",0)</f>
        <v>0</v>
      </c>
      <c r="V321" s="1418"/>
      <c r="W321" s="1419" t="s">
        <v>46</v>
      </c>
      <c r="X321" s="1278"/>
      <c r="Y321" s="1278"/>
      <c r="Z321" s="1279"/>
      <c r="AC321" s="489"/>
      <c r="AD321" s="4"/>
      <c r="AE321" s="74"/>
      <c r="AF321" s="236" t="s">
        <v>117</v>
      </c>
      <c r="AG321" s="26"/>
      <c r="AH321" s="274">
        <f>IF(K323=0,0,IF(K323&lt;12,1,0))</f>
        <v>0</v>
      </c>
      <c r="AI321" s="174"/>
      <c r="AJ321" s="174"/>
      <c r="AK321" s="174"/>
      <c r="AL321" s="174"/>
      <c r="AM321" s="174"/>
      <c r="AN321" s="397" t="s">
        <v>148</v>
      </c>
      <c r="AO321" s="1439" t="s">
        <v>46</v>
      </c>
      <c r="AP321" s="1440"/>
      <c r="AQ321" s="1441">
        <f>IF(AR60=0,0,ROUNDDOWN(AR327/AR60,8))</f>
        <v>0</v>
      </c>
      <c r="AR321" s="1442"/>
      <c r="AS321" s="386"/>
      <c r="AT321" s="1439" t="s">
        <v>213</v>
      </c>
      <c r="AU321" s="1440"/>
      <c r="AV321" s="1464">
        <f>IF($AG$272&gt;0,0,AR327-AR326)</f>
        <v>0</v>
      </c>
      <c r="AW321" s="1465"/>
      <c r="AX321" s="356"/>
      <c r="AY321" s="1466" t="s">
        <v>46</v>
      </c>
      <c r="AZ321" s="1440"/>
      <c r="BA321" s="1444">
        <f>IF(R323+R326=0,0,IF(K324&gt;K323,"期割がアンマッチ使用禁止↓",0))</f>
        <v>0</v>
      </c>
      <c r="BB321" s="1445"/>
      <c r="BC321" s="356"/>
      <c r="BD321" s="1435" t="s">
        <v>46</v>
      </c>
      <c r="BE321" s="1434"/>
      <c r="BF321" s="1431"/>
      <c r="BG321" s="1433"/>
      <c r="BH321" s="12"/>
      <c r="BI321" s="1253" t="s">
        <v>46</v>
      </c>
      <c r="BJ321" s="1434"/>
      <c r="BK321" s="1431"/>
      <c r="BL321" s="1433"/>
      <c r="BM321" s="12"/>
      <c r="BN321" s="1253" t="s">
        <v>46</v>
      </c>
      <c r="BO321" s="1434"/>
      <c r="BP321" s="1431"/>
      <c r="BQ321" s="1432"/>
      <c r="BR321" s="12"/>
      <c r="BS321" s="12"/>
      <c r="BT321" s="12"/>
      <c r="BU321" s="12"/>
      <c r="BV321" s="12"/>
      <c r="BW321" s="12"/>
      <c r="BX321" s="32"/>
      <c r="BY321" s="33" t="str">
        <f>BY311</f>
        <v>料率</v>
      </c>
      <c r="BZ321" s="33">
        <f>BZ311</f>
        <v>7</v>
      </c>
      <c r="CA321" s="33">
        <f>CA311</f>
        <v>5</v>
      </c>
      <c r="CB321" s="33">
        <f>CB311</f>
        <v>2</v>
      </c>
      <c r="CC321" s="4"/>
      <c r="CD321" s="4"/>
      <c r="CE321" s="4"/>
      <c r="CF321" s="4"/>
      <c r="CG321" s="4"/>
      <c r="CH321" s="4"/>
      <c r="CI321" s="13"/>
    </row>
    <row r="322" spans="1:87" ht="18.75" customHeight="1">
      <c r="A322" s="165"/>
      <c r="B322" s="12"/>
      <c r="C322" s="75" t="s">
        <v>33</v>
      </c>
      <c r="D322" s="12"/>
      <c r="E322" s="12"/>
      <c r="F322" s="1394" t="s">
        <v>433</v>
      </c>
      <c r="G322" s="1394"/>
      <c r="H322" s="1394"/>
      <c r="I322" s="93"/>
      <c r="J322" s="12"/>
      <c r="K322" s="76" t="s">
        <v>9</v>
      </c>
      <c r="L322" s="12"/>
      <c r="M322" s="1549">
        <f>IF(R323+R326=0, 0, IF(K324=K323,0,IF(K324&gt;K323,"年度途中で資格変動有？保険料内訳のみ使用可能",0)))</f>
        <v>0</v>
      </c>
      <c r="N322" s="1549"/>
      <c r="O322" s="1549"/>
      <c r="P322" s="1549"/>
      <c r="Q322" s="1549"/>
      <c r="R322" s="1549"/>
      <c r="S322" s="1550"/>
      <c r="T322" s="72" t="s">
        <v>30</v>
      </c>
      <c r="U322" s="105">
        <f>R323+R326</f>
        <v>0</v>
      </c>
      <c r="V322" s="88" t="s">
        <v>6</v>
      </c>
      <c r="W322" s="80" t="s">
        <v>34</v>
      </c>
      <c r="X322" s="29">
        <f t="shared" ref="X322:X327" si="209">IF($AH$13&gt;0,0,AZ322)</f>
        <v>0</v>
      </c>
      <c r="Y322" s="80" t="s">
        <v>39</v>
      </c>
      <c r="Z322" s="31">
        <f>IF($AH$13&gt;0,0,BB322)</f>
        <v>0</v>
      </c>
      <c r="AC322" s="489"/>
      <c r="AD322" s="4"/>
      <c r="AE322" s="74"/>
      <c r="AF322" s="217">
        <f>AF323+AF326+AF329</f>
        <v>0</v>
      </c>
      <c r="AG322" s="26"/>
      <c r="AH322" s="26"/>
      <c r="AI322" s="174"/>
      <c r="AJ322" s="174"/>
      <c r="AK322" s="174"/>
      <c r="AL322" s="174"/>
      <c r="AM322" s="174"/>
      <c r="AN322" s="386"/>
      <c r="AO322" s="358" t="s">
        <v>34</v>
      </c>
      <c r="AP322" s="387">
        <f>ROUND(AP56*AQ321,0)</f>
        <v>0</v>
      </c>
      <c r="AQ322" s="360" t="s">
        <v>39</v>
      </c>
      <c r="AR322" s="388">
        <f>ROUND(AR56*AQ321,0)</f>
        <v>0</v>
      </c>
      <c r="AS322" s="386"/>
      <c r="AT322" s="361" t="s">
        <v>34</v>
      </c>
      <c r="AU322" s="387">
        <f>IF(AV321=0,0,IF(AV321&gt;=10,1,IF(AV321&lt;=-10,-1,0)))</f>
        <v>0</v>
      </c>
      <c r="AV322" s="389" t="s">
        <v>39</v>
      </c>
      <c r="AW322" s="388">
        <f>IF(AV321=0,0,IF(AV321&gt;=4,1,IF(AV321&lt;=-4,-1,0)))</f>
        <v>0</v>
      </c>
      <c r="AX322" s="356"/>
      <c r="AY322" s="429" t="s">
        <v>34</v>
      </c>
      <c r="AZ322" s="359">
        <f t="shared" ref="AZ322:AZ327" si="210">IF($AG$2&gt;0,"限度超過",AP322+AU322)</f>
        <v>0</v>
      </c>
      <c r="BA322" s="360" t="s">
        <v>39</v>
      </c>
      <c r="BB322" s="430">
        <f>IF($AG$2&gt;0,"限度超過",AR322+AW322)</f>
        <v>0</v>
      </c>
      <c r="BC322" s="356"/>
      <c r="BD322" s="448" t="s">
        <v>34</v>
      </c>
      <c r="BE322" s="81">
        <f t="shared" ref="BE322:BE327" si="211">BE312</f>
        <v>0</v>
      </c>
      <c r="BF322" s="82" t="s">
        <v>39</v>
      </c>
      <c r="BG322" s="29">
        <f>BG312</f>
        <v>0</v>
      </c>
      <c r="BH322" s="12"/>
      <c r="BI322" s="80" t="s">
        <v>34</v>
      </c>
      <c r="BJ322" s="29">
        <f t="shared" ref="BJ322:BJ327" si="212">IF($A$353=$L$353,"限度超過",IF(BE322=0,0,BE322/$S$271))</f>
        <v>0</v>
      </c>
      <c r="BK322" s="80" t="s">
        <v>39</v>
      </c>
      <c r="BL322" s="29">
        <f>IF($A$353=$L$353,"限度超過",IF(BG322=0,0,BG322/$S$271))</f>
        <v>0</v>
      </c>
      <c r="BM322" s="12"/>
      <c r="BN322" s="30" t="s">
        <v>34</v>
      </c>
      <c r="BO322" s="29">
        <f t="shared" ref="BO322:BO327" si="213">IF($A$353=$L$353,"限度超過",IF($S$271&lt;=4,0,BJ322))</f>
        <v>0</v>
      </c>
      <c r="BP322" s="80" t="s">
        <v>39</v>
      </c>
      <c r="BQ322" s="457">
        <f>IF($A$353=$L$353,"限度超過",IF($S$271&lt;=4,0,BL322))</f>
        <v>0</v>
      </c>
      <c r="BR322" s="12"/>
      <c r="BS322" s="12"/>
      <c r="BT322" s="12"/>
      <c r="BU322" s="12"/>
      <c r="BV322" s="12"/>
      <c r="BW322" s="12"/>
      <c r="BX322" s="32" t="s">
        <v>17</v>
      </c>
      <c r="BY322" s="44">
        <v>0</v>
      </c>
      <c r="BZ322" s="45">
        <f>$CF$274</f>
        <v>5440</v>
      </c>
      <c r="CA322" s="45">
        <f>$CG$274</f>
        <v>3880</v>
      </c>
      <c r="CB322" s="45">
        <f>$CH$274</f>
        <v>1560</v>
      </c>
      <c r="CC322" s="4"/>
      <c r="CD322" s="4"/>
      <c r="CE322" s="4"/>
      <c r="CF322" s="4"/>
      <c r="CG322" s="4"/>
      <c r="CH322" s="4"/>
      <c r="CI322" s="13"/>
    </row>
    <row r="323" spans="1:87" ht="18.75" customHeight="1">
      <c r="A323" s="1378" t="s">
        <v>0</v>
      </c>
      <c r="B323" s="1556" t="s">
        <v>129</v>
      </c>
      <c r="C323" s="1382">
        <f>IF(K323&gt;0,C57,0)</f>
        <v>0</v>
      </c>
      <c r="D323" s="1010" t="s">
        <v>58</v>
      </c>
      <c r="E323" s="1389">
        <f>IF(H326&gt;0,$CE$277, 0)</f>
        <v>0</v>
      </c>
      <c r="F323" s="1395" t="s">
        <v>22</v>
      </c>
      <c r="G323" s="1010" t="s">
        <v>59</v>
      </c>
      <c r="H323" s="85">
        <f>IF(H326&gt;0,$CE$273,0)</f>
        <v>0</v>
      </c>
      <c r="I323" s="1385" t="s">
        <v>22</v>
      </c>
      <c r="J323" s="1010" t="s">
        <v>59</v>
      </c>
      <c r="K323" s="51">
        <f>入力画面!I34</f>
        <v>0</v>
      </c>
      <c r="L323" s="52" t="s">
        <v>5</v>
      </c>
      <c r="M323" s="1395"/>
      <c r="N323" s="1527"/>
      <c r="O323" s="86"/>
      <c r="P323" s="1392" t="s">
        <v>130</v>
      </c>
      <c r="Q323" s="1392"/>
      <c r="R323" s="1391">
        <f>ROUNDDOWN(IF(((C323-E323)*H323/H324)*K323/K324&lt;0,0,((C323-E323)*H323/H324)*K323/K324),0)</f>
        <v>0</v>
      </c>
      <c r="S323" s="1524" t="s">
        <v>6</v>
      </c>
      <c r="T323" s="72" t="s">
        <v>1</v>
      </c>
      <c r="U323" s="105">
        <f>IF(H326=0,0,K329)</f>
        <v>0</v>
      </c>
      <c r="V323" s="88" t="s">
        <v>6</v>
      </c>
      <c r="W323" s="30" t="s">
        <v>35</v>
      </c>
      <c r="X323" s="29">
        <f t="shared" si="209"/>
        <v>0</v>
      </c>
      <c r="Y323" s="30" t="s">
        <v>40</v>
      </c>
      <c r="Z323" s="31">
        <f>IF($AH$13&gt;0,0,BB323)</f>
        <v>0</v>
      </c>
      <c r="AC323" s="489"/>
      <c r="AD323" s="4"/>
      <c r="AE323" s="74"/>
      <c r="AF323" s="1416">
        <f>ROUNDDOWN(IF(((C323-E323)*H323/H324)&lt;0,0,((C323-E323)*H323/H324)),0)</f>
        <v>0</v>
      </c>
      <c r="AG323" s="26"/>
      <c r="AH323" s="26"/>
      <c r="AI323" s="174"/>
      <c r="AJ323" s="174"/>
      <c r="AK323" s="174"/>
      <c r="AL323" s="174"/>
      <c r="AM323" s="174"/>
      <c r="AN323" s="386"/>
      <c r="AO323" s="361" t="s">
        <v>35</v>
      </c>
      <c r="AP323" s="387">
        <f>ROUND(AP57*AQ321,0)</f>
        <v>0</v>
      </c>
      <c r="AQ323" s="360" t="s">
        <v>40</v>
      </c>
      <c r="AR323" s="388">
        <f>ROUND(AR57*AQ321,0)</f>
        <v>0</v>
      </c>
      <c r="AS323" s="386"/>
      <c r="AT323" s="361" t="s">
        <v>35</v>
      </c>
      <c r="AU323" s="387">
        <f>IF(AV321=0,0,IF(AV321&gt;=9,1,IF(AV321&lt;=-9,-1,0)))</f>
        <v>0</v>
      </c>
      <c r="AV323" s="389" t="s">
        <v>40</v>
      </c>
      <c r="AW323" s="388">
        <f>IF(AV321=0,0,IF(AV321&gt;=3,1,IF(AV321&lt;=-3,-1,0)))</f>
        <v>0</v>
      </c>
      <c r="AX323" s="356"/>
      <c r="AY323" s="431" t="s">
        <v>35</v>
      </c>
      <c r="AZ323" s="359">
        <f t="shared" si="210"/>
        <v>0</v>
      </c>
      <c r="BA323" s="360" t="s">
        <v>40</v>
      </c>
      <c r="BB323" s="430">
        <f>IF($AG$2&gt;0,"限度超過",AR323+AW323)</f>
        <v>0</v>
      </c>
      <c r="BC323" s="356"/>
      <c r="BD323" s="448" t="s">
        <v>35</v>
      </c>
      <c r="BE323" s="81">
        <f t="shared" si="211"/>
        <v>0</v>
      </c>
      <c r="BF323" s="82" t="s">
        <v>40</v>
      </c>
      <c r="BG323" s="29">
        <f>BG313</f>
        <v>0</v>
      </c>
      <c r="BH323" s="12"/>
      <c r="BI323" s="30" t="s">
        <v>35</v>
      </c>
      <c r="BJ323" s="29">
        <f t="shared" si="212"/>
        <v>0</v>
      </c>
      <c r="BK323" s="30" t="s">
        <v>40</v>
      </c>
      <c r="BL323" s="29">
        <f>IF($A$353=$L$353,"限度超過",IF(BG323=0,0,BG323/$S$271))</f>
        <v>0</v>
      </c>
      <c r="BM323" s="12"/>
      <c r="BN323" s="30" t="s">
        <v>35</v>
      </c>
      <c r="BO323" s="29">
        <f t="shared" si="213"/>
        <v>0</v>
      </c>
      <c r="BP323" s="30" t="s">
        <v>40</v>
      </c>
      <c r="BQ323" s="457">
        <f>IF($A$353=$L$353,"限度超過",IF($S$271&lt;=4,0,BL323))</f>
        <v>0</v>
      </c>
      <c r="BR323" s="12"/>
      <c r="BS323" s="12"/>
      <c r="BT323" s="12"/>
      <c r="BU323" s="12"/>
      <c r="BV323" s="12"/>
      <c r="BW323" s="12"/>
      <c r="BX323" s="32" t="s">
        <v>8</v>
      </c>
      <c r="BY323" s="45">
        <f>K316</f>
        <v>0</v>
      </c>
      <c r="BZ323" s="45">
        <f t="shared" ref="BZ323:CB325" si="214">BY323</f>
        <v>0</v>
      </c>
      <c r="CA323" s="45">
        <f t="shared" si="214"/>
        <v>0</v>
      </c>
      <c r="CB323" s="45">
        <f t="shared" si="214"/>
        <v>0</v>
      </c>
      <c r="CC323" s="4"/>
      <c r="CD323" s="4"/>
      <c r="CE323" s="4"/>
      <c r="CF323" s="4"/>
      <c r="CG323" s="4"/>
      <c r="CH323" s="4"/>
      <c r="CI323" s="13"/>
    </row>
    <row r="324" spans="1:87" ht="18.75" customHeight="1">
      <c r="A324" s="1378"/>
      <c r="B324" s="1556"/>
      <c r="C324" s="1382"/>
      <c r="D324" s="1010"/>
      <c r="E324" s="1389"/>
      <c r="F324" s="1395"/>
      <c r="G324" s="1010"/>
      <c r="H324" s="39">
        <v>100</v>
      </c>
      <c r="I324" s="1385"/>
      <c r="J324" s="1010"/>
      <c r="K324" s="55">
        <v>12</v>
      </c>
      <c r="L324" s="12" t="s">
        <v>5</v>
      </c>
      <c r="M324" s="1395"/>
      <c r="N324" s="1527"/>
      <c r="O324" s="86"/>
      <c r="P324" s="1392"/>
      <c r="Q324" s="1392"/>
      <c r="R324" s="1391"/>
      <c r="S324" s="1524"/>
      <c r="T324" s="72" t="s">
        <v>29</v>
      </c>
      <c r="U324" s="105">
        <f>U322+U323</f>
        <v>0</v>
      </c>
      <c r="V324" s="88" t="s">
        <v>6</v>
      </c>
      <c r="W324" s="30" t="s">
        <v>36</v>
      </c>
      <c r="X324" s="29">
        <f t="shared" si="209"/>
        <v>0</v>
      </c>
      <c r="Y324" s="30" t="s">
        <v>41</v>
      </c>
      <c r="Z324" s="31">
        <f>IF($AH$13&gt;0,0,BB324)</f>
        <v>0</v>
      </c>
      <c r="AC324" s="489"/>
      <c r="AD324" s="4"/>
      <c r="AE324" s="486"/>
      <c r="AF324" s="1416"/>
      <c r="AG324" s="26"/>
      <c r="AI324" s="174"/>
      <c r="AJ324" s="174"/>
      <c r="AK324" s="174"/>
      <c r="AL324" s="174"/>
      <c r="AM324" s="174"/>
      <c r="AN324" s="386"/>
      <c r="AO324" s="361" t="s">
        <v>36</v>
      </c>
      <c r="AP324" s="387">
        <f>ROUND(AP58*AQ321,0)</f>
        <v>0</v>
      </c>
      <c r="AQ324" s="360" t="s">
        <v>41</v>
      </c>
      <c r="AR324" s="388">
        <f>ROUND(AR58*AQ321,0)</f>
        <v>0</v>
      </c>
      <c r="AS324" s="386"/>
      <c r="AT324" s="361" t="s">
        <v>36</v>
      </c>
      <c r="AU324" s="387">
        <f>IF(AV321=0,0,IF(AV321&gt;=8,1,IF(AV321&lt;=-8,-1,0)))</f>
        <v>0</v>
      </c>
      <c r="AV324" s="389" t="s">
        <v>41</v>
      </c>
      <c r="AW324" s="388">
        <f>IF(AV321=0,0,IF(AV321&gt;=2,1,IF(AV321&lt;=-2,-1,0)))</f>
        <v>0</v>
      </c>
      <c r="AX324" s="356"/>
      <c r="AY324" s="431" t="s">
        <v>36</v>
      </c>
      <c r="AZ324" s="359">
        <f t="shared" si="210"/>
        <v>0</v>
      </c>
      <c r="BA324" s="360" t="s">
        <v>41</v>
      </c>
      <c r="BB324" s="430">
        <f>IF($AG$2&gt;0,"限度超過",AR324+AW324)</f>
        <v>0</v>
      </c>
      <c r="BC324" s="356"/>
      <c r="BD324" s="448" t="s">
        <v>36</v>
      </c>
      <c r="BE324" s="81">
        <f t="shared" si="211"/>
        <v>0</v>
      </c>
      <c r="BF324" s="82" t="s">
        <v>41</v>
      </c>
      <c r="BG324" s="29">
        <f>BG314</f>
        <v>0</v>
      </c>
      <c r="BH324" s="12"/>
      <c r="BI324" s="30" t="s">
        <v>36</v>
      </c>
      <c r="BJ324" s="29">
        <f t="shared" si="212"/>
        <v>0</v>
      </c>
      <c r="BK324" s="30" t="s">
        <v>41</v>
      </c>
      <c r="BL324" s="29">
        <f>IF($A$353=$L$353,"限度超過",IF(BG324=0,0,BG324/$S$271))</f>
        <v>0</v>
      </c>
      <c r="BM324" s="12"/>
      <c r="BN324" s="30" t="s">
        <v>36</v>
      </c>
      <c r="BO324" s="29">
        <f t="shared" si="213"/>
        <v>0</v>
      </c>
      <c r="BP324" s="30" t="s">
        <v>41</v>
      </c>
      <c r="BQ324" s="457">
        <f>IF($A$353=$L$353,"限度超過",IF($S$271&lt;=4,0,BL324))</f>
        <v>0</v>
      </c>
      <c r="BR324" s="12"/>
      <c r="BS324" s="12"/>
      <c r="BT324" s="12"/>
      <c r="BU324" s="12"/>
      <c r="BV324" s="12"/>
      <c r="BW324" s="12"/>
      <c r="BX324" s="32" t="s">
        <v>25</v>
      </c>
      <c r="BY324" s="45">
        <f>K317</f>
        <v>0</v>
      </c>
      <c r="BZ324" s="45">
        <f t="shared" si="214"/>
        <v>0</v>
      </c>
      <c r="CA324" s="45">
        <f t="shared" si="214"/>
        <v>0</v>
      </c>
      <c r="CB324" s="45">
        <f t="shared" si="214"/>
        <v>0</v>
      </c>
      <c r="CC324" s="4"/>
      <c r="CD324" s="4"/>
      <c r="CE324" s="4"/>
      <c r="CF324" s="4"/>
      <c r="CG324" s="4"/>
      <c r="CH324" s="4"/>
      <c r="CI324" s="13"/>
    </row>
    <row r="325" spans="1:87" ht="18.75" customHeight="1">
      <c r="A325" s="165"/>
      <c r="B325" s="12"/>
      <c r="C325" s="50"/>
      <c r="D325" s="12"/>
      <c r="E325" s="12"/>
      <c r="F325" s="12"/>
      <c r="G325" s="12"/>
      <c r="H325" s="91"/>
      <c r="I325" s="75"/>
      <c r="J325" s="75"/>
      <c r="K325" s="92"/>
      <c r="L325" s="75"/>
      <c r="M325" s="93"/>
      <c r="N325" s="94"/>
      <c r="O325" s="42">
        <f>IF(H326=0,0,$D$271)</f>
        <v>0</v>
      </c>
      <c r="P325" s="463">
        <f>IF(O326=0,0,"軽減額")</f>
        <v>0</v>
      </c>
      <c r="Q325" s="12"/>
      <c r="R325" s="95"/>
      <c r="S325" s="49"/>
      <c r="T325" s="96" t="s">
        <v>31</v>
      </c>
      <c r="U325" s="105">
        <f>ROUNDDOWN(U324,-2)</f>
        <v>0</v>
      </c>
      <c r="V325" s="88" t="s">
        <v>6</v>
      </c>
      <c r="W325" s="30" t="s">
        <v>43</v>
      </c>
      <c r="X325" s="29">
        <f t="shared" si="209"/>
        <v>0</v>
      </c>
      <c r="Y325" s="30" t="s">
        <v>42</v>
      </c>
      <c r="Z325" s="31">
        <f>IF($AH$13&gt;0,0,BB325)</f>
        <v>0</v>
      </c>
      <c r="AC325" s="489"/>
      <c r="AD325" s="4"/>
      <c r="AE325" s="497" t="str">
        <f>IF($AH$13&gt;0,"－",IF($AG$2&gt;0,"限度超過",IF(U326=Z326,"OK","ｱﾝﾏｯﾁ")))</f>
        <v>OK</v>
      </c>
      <c r="AF325" s="496"/>
      <c r="AG325" s="4"/>
      <c r="AI325" s="174"/>
      <c r="AJ325" s="174"/>
      <c r="AK325" s="174"/>
      <c r="AL325" s="174"/>
      <c r="AM325" s="174"/>
      <c r="AN325" s="386"/>
      <c r="AO325" s="361" t="s">
        <v>43</v>
      </c>
      <c r="AP325" s="387">
        <f>ROUND(AP59*AQ321,0)</f>
        <v>0</v>
      </c>
      <c r="AQ325" s="360" t="s">
        <v>42</v>
      </c>
      <c r="AR325" s="388">
        <f>ROUND(AR59*AQ321,0)</f>
        <v>0</v>
      </c>
      <c r="AS325" s="386"/>
      <c r="AT325" s="361" t="s">
        <v>43</v>
      </c>
      <c r="AU325" s="387">
        <f>IF(AV321=0,0,IF(AV321&gt;=7,1,IF(AV321&lt;=-7,-1,0)))</f>
        <v>0</v>
      </c>
      <c r="AV325" s="389" t="s">
        <v>42</v>
      </c>
      <c r="AW325" s="388">
        <f>IF(AV321=0,0,IF(AV321&gt;=1,1,IF(AV321&lt;=-1,-1,0)))</f>
        <v>0</v>
      </c>
      <c r="AX325" s="356"/>
      <c r="AY325" s="431" t="s">
        <v>43</v>
      </c>
      <c r="AZ325" s="359">
        <f t="shared" si="210"/>
        <v>0</v>
      </c>
      <c r="BA325" s="360" t="s">
        <v>42</v>
      </c>
      <c r="BB325" s="430">
        <f>IF($AG$2&gt;0,"限度超過",AR325+AW325)</f>
        <v>0</v>
      </c>
      <c r="BC325" s="356"/>
      <c r="BD325" s="448" t="s">
        <v>43</v>
      </c>
      <c r="BE325" s="81">
        <f t="shared" si="211"/>
        <v>0</v>
      </c>
      <c r="BF325" s="82" t="s">
        <v>42</v>
      </c>
      <c r="BG325" s="29">
        <f>BG315</f>
        <v>0</v>
      </c>
      <c r="BH325" s="12"/>
      <c r="BI325" s="30" t="s">
        <v>43</v>
      </c>
      <c r="BJ325" s="29">
        <f t="shared" si="212"/>
        <v>0</v>
      </c>
      <c r="BK325" s="30" t="s">
        <v>42</v>
      </c>
      <c r="BL325" s="29">
        <f>IF($A$353=$L$353,"限度超過",IF(BG325=0,0,BG325/$S$271))</f>
        <v>0</v>
      </c>
      <c r="BM325" s="12"/>
      <c r="BN325" s="30" t="s">
        <v>43</v>
      </c>
      <c r="BO325" s="29">
        <f t="shared" si="213"/>
        <v>0</v>
      </c>
      <c r="BP325" s="30" t="s">
        <v>42</v>
      </c>
      <c r="BQ325" s="457">
        <f>IF($A$353=$L$353,"限度超過",IF($S$271&lt;=4,0,BL325))</f>
        <v>0</v>
      </c>
      <c r="BR325" s="12"/>
      <c r="BS325" s="12"/>
      <c r="BT325" s="12"/>
      <c r="BU325" s="12"/>
      <c r="BV325" s="12"/>
      <c r="BW325" s="12"/>
      <c r="BX325" s="32" t="s">
        <v>26</v>
      </c>
      <c r="BY325" s="26">
        <f>H316</f>
        <v>0</v>
      </c>
      <c r="BZ325" s="99">
        <f t="shared" si="214"/>
        <v>0</v>
      </c>
      <c r="CA325" s="99">
        <f t="shared" si="214"/>
        <v>0</v>
      </c>
      <c r="CB325" s="99">
        <f t="shared" si="214"/>
        <v>0</v>
      </c>
      <c r="CC325" s="4"/>
      <c r="CD325" s="4"/>
      <c r="CE325" s="4"/>
      <c r="CF325" s="4"/>
      <c r="CG325" s="4"/>
      <c r="CH325" s="4"/>
      <c r="CI325" s="13"/>
    </row>
    <row r="326" spans="1:87" ht="18.75" customHeight="1">
      <c r="A326" s="1378" t="s">
        <v>10</v>
      </c>
      <c r="B326" s="12"/>
      <c r="C326" s="12"/>
      <c r="D326" s="1379" t="s">
        <v>7</v>
      </c>
      <c r="E326" s="1389">
        <f>IF(H326&gt;0,$CE$274,0)</f>
        <v>0</v>
      </c>
      <c r="F326" s="97"/>
      <c r="G326" s="1010" t="s">
        <v>59</v>
      </c>
      <c r="H326" s="1390">
        <f>IF(B321=0,0,SUBTOTAL(3,B321))</f>
        <v>0</v>
      </c>
      <c r="I326" s="1385" t="s">
        <v>22</v>
      </c>
      <c r="J326" s="1010" t="s">
        <v>59</v>
      </c>
      <c r="K326" s="51">
        <f>IF(H326&gt;0,K323,0)</f>
        <v>0</v>
      </c>
      <c r="L326" s="52" t="s">
        <v>5</v>
      </c>
      <c r="M326" s="1527" t="s">
        <v>122</v>
      </c>
      <c r="N326" s="1548">
        <f>IF(O326=0,0,"―")</f>
        <v>0</v>
      </c>
      <c r="O326" s="1525">
        <f>IF(H326&lt;=0,0,IF($D$271=0,0,IF($D$271=7,BZ336,IF($D$271=5,CA336,IF($D$271=2,CB336,"間違い!")))))</f>
        <v>0</v>
      </c>
      <c r="P326" s="1526"/>
      <c r="Q326" s="1392" t="s">
        <v>130</v>
      </c>
      <c r="R326" s="1391">
        <f>IF(H326&gt;0,IF(K323=0,0,ROUNDDOWN(((E326*H326)*K326/K327)-O326,0)),0)</f>
        <v>0</v>
      </c>
      <c r="S326" s="1524" t="s">
        <v>6</v>
      </c>
      <c r="T326" s="1537" t="s">
        <v>32</v>
      </c>
      <c r="U326" s="1522">
        <f>IF($L$353=$A$353,"限度超過",U324)</f>
        <v>0</v>
      </c>
      <c r="V326" s="1512" t="s">
        <v>6</v>
      </c>
      <c r="W326" s="30" t="s">
        <v>37</v>
      </c>
      <c r="X326" s="29">
        <f t="shared" si="209"/>
        <v>0</v>
      </c>
      <c r="Y326" s="1313" t="s">
        <v>44</v>
      </c>
      <c r="Z326" s="1420">
        <f>IF($AH$13&gt;0,0,BB326)</f>
        <v>0</v>
      </c>
      <c r="AC326" s="489"/>
      <c r="AD326" s="4"/>
      <c r="AE326" s="497" t="str">
        <f>IF($AG$2&gt;0,"限度超過",IF(X322+X323+X324+X325+X326+X327+Z322+Z323+Z324+Z325=Z326,"OK","エラー"))</f>
        <v>OK</v>
      </c>
      <c r="AF326" s="1521">
        <f>IF(H326&gt;0,IF(K323=0,0,ROUNDDOWN((E326*H326)-O326,0)),0)</f>
        <v>0</v>
      </c>
      <c r="AG326" s="4"/>
      <c r="AH326" s="4"/>
      <c r="AI326" s="174"/>
      <c r="AJ326" s="174"/>
      <c r="AK326" s="174"/>
      <c r="AL326" s="174"/>
      <c r="AM326" s="174"/>
      <c r="AN326" s="386"/>
      <c r="AO326" s="361" t="s">
        <v>37</v>
      </c>
      <c r="AP326" s="387">
        <f>ROUND(AP60*AQ321,0)</f>
        <v>0</v>
      </c>
      <c r="AQ326" s="362" t="s">
        <v>44</v>
      </c>
      <c r="AR326" s="363">
        <f>AP322+AP323+AP324+AP325+AP326+AP327+AR322+AR323+AR324+AR325</f>
        <v>0</v>
      </c>
      <c r="AS326" s="386"/>
      <c r="AT326" s="361" t="s">
        <v>37</v>
      </c>
      <c r="AU326" s="387">
        <f>IF(AV321=0,0,IF(AV321&gt;=6,1,IF(AV321&lt;=-6,-1,0)))</f>
        <v>0</v>
      </c>
      <c r="AV326" s="391" t="s">
        <v>44</v>
      </c>
      <c r="AW326" s="392">
        <f>AU322+AU323+AU324+AU325+AU326+AU327+AW322+AW323+AW324+AW325</f>
        <v>0</v>
      </c>
      <c r="AX326" s="356"/>
      <c r="AY326" s="431" t="s">
        <v>37</v>
      </c>
      <c r="AZ326" s="359">
        <f t="shared" si="210"/>
        <v>0</v>
      </c>
      <c r="BA326" s="362" t="s">
        <v>44</v>
      </c>
      <c r="BB326" s="432">
        <f>IF($AG$2&gt;0,"限度超過",AZ322+AZ323+AZ324+AZ325+AZ326+AZ327+BB322+BB323+BB324+BB325)</f>
        <v>0</v>
      </c>
      <c r="BC326" s="356"/>
      <c r="BD326" s="448" t="s">
        <v>37</v>
      </c>
      <c r="BE326" s="81">
        <f t="shared" si="211"/>
        <v>0</v>
      </c>
      <c r="BF326" s="440" t="s">
        <v>44</v>
      </c>
      <c r="BG326" s="29">
        <f>IF($A$353=$L$353,"限度超過",BE322+BE323+BE324+BE325+BE326+BE327+BG322+BG323+BG324+BG325)</f>
        <v>0</v>
      </c>
      <c r="BH326" s="12"/>
      <c r="BI326" s="30" t="s">
        <v>37</v>
      </c>
      <c r="BJ326" s="29">
        <f t="shared" si="212"/>
        <v>0</v>
      </c>
      <c r="BK326" s="98" t="s">
        <v>44</v>
      </c>
      <c r="BL326" s="29">
        <f>IF($A$353=$L$353,"限度超過",BJ322+BJ323+BJ324+BJ325+BJ326+BJ327+BL322+BL323+BL324+BL325)</f>
        <v>0</v>
      </c>
      <c r="BM326" s="12"/>
      <c r="BN326" s="30" t="s">
        <v>37</v>
      </c>
      <c r="BO326" s="29">
        <f t="shared" si="213"/>
        <v>0</v>
      </c>
      <c r="BP326" s="98" t="s">
        <v>44</v>
      </c>
      <c r="BQ326" s="457">
        <f>IF($A$353=$L$353,"限度超過",BO322+BO323+BO324+BO325+BO326+BO327+BQ322+BQ323+BQ324+BQ325)</f>
        <v>0</v>
      </c>
      <c r="BR326" s="12"/>
      <c r="BS326" s="12"/>
      <c r="BT326" s="12"/>
      <c r="BU326" s="12"/>
      <c r="BV326" s="12"/>
      <c r="BW326" s="12"/>
      <c r="BX326" s="67" t="s">
        <v>27</v>
      </c>
      <c r="BY326" s="45">
        <f>IF(BY325&gt;0,ROUNDDOWN(BY322*BY325*BY323/BY324,0),0)</f>
        <v>0</v>
      </c>
      <c r="BZ326" s="45">
        <f>IF(BZ325&gt;0,ROUNDDOWN(BZ322*BZ325*BZ323/BZ324,0),0)</f>
        <v>0</v>
      </c>
      <c r="CA326" s="45">
        <f>IF(CA325&gt;0,ROUNDDOWN(CA322*CA325*CA323/CA324,0),0)</f>
        <v>0</v>
      </c>
      <c r="CB326" s="45">
        <f>IF(CB325&gt;0,ROUNDDOWN(CB322*CB325*CB323/CB324,0),0)</f>
        <v>0</v>
      </c>
      <c r="CC326" s="4"/>
      <c r="CD326" s="4"/>
      <c r="CE326" s="4"/>
      <c r="CF326" s="4"/>
      <c r="CG326" s="4"/>
      <c r="CH326" s="4"/>
      <c r="CI326" s="13"/>
    </row>
    <row r="327" spans="1:87" ht="18.75" customHeight="1">
      <c r="A327" s="1378"/>
      <c r="B327" s="12"/>
      <c r="C327" s="12"/>
      <c r="D327" s="1379"/>
      <c r="E327" s="1389"/>
      <c r="F327" s="12"/>
      <c r="G327" s="1010"/>
      <c r="H327" s="1390"/>
      <c r="I327" s="1385"/>
      <c r="J327" s="1010"/>
      <c r="K327" s="180">
        <f>IF(H326&gt;0,K324,0)</f>
        <v>0</v>
      </c>
      <c r="L327" s="12" t="s">
        <v>5</v>
      </c>
      <c r="M327" s="1527"/>
      <c r="N327" s="1548"/>
      <c r="O327" s="1526"/>
      <c r="P327" s="1526"/>
      <c r="Q327" s="1392"/>
      <c r="R327" s="1391"/>
      <c r="S327" s="1524"/>
      <c r="T327" s="1537"/>
      <c r="U327" s="1522"/>
      <c r="V327" s="1512"/>
      <c r="W327" s="30" t="s">
        <v>38</v>
      </c>
      <c r="X327" s="29">
        <f t="shared" si="209"/>
        <v>0</v>
      </c>
      <c r="Y327" s="1422"/>
      <c r="Z327" s="1421"/>
      <c r="AC327" s="489"/>
      <c r="AD327" s="4"/>
      <c r="AE327" s="74"/>
      <c r="AF327" s="1416"/>
      <c r="AG327" s="73"/>
      <c r="AH327" s="189"/>
      <c r="AI327" s="174"/>
      <c r="AJ327" s="174"/>
      <c r="AK327" s="174"/>
      <c r="AL327" s="174"/>
      <c r="AM327" s="174"/>
      <c r="AN327" s="386"/>
      <c r="AO327" s="361" t="s">
        <v>38</v>
      </c>
      <c r="AP327" s="387">
        <f>ROUND(AP61*AQ321,0)</f>
        <v>0</v>
      </c>
      <c r="AQ327" s="360" t="s">
        <v>75</v>
      </c>
      <c r="AR327" s="393">
        <f>U326</f>
        <v>0</v>
      </c>
      <c r="AS327" s="386"/>
      <c r="AT327" s="361" t="s">
        <v>38</v>
      </c>
      <c r="AU327" s="387">
        <f>IF(AV321=0,0,IF(AV321&gt;=5,1,IF(AV321&lt;=-5,-1,0)))</f>
        <v>0</v>
      </c>
      <c r="AV327" s="389"/>
      <c r="AW327" s="394" t="str">
        <f>IF(AU322+AU323+AU324+AU325+AU326+AU327+AW322+AW323+AW324+AW325=AV321,"計算ＯＫ","エラー発生")</f>
        <v>計算ＯＫ</v>
      </c>
      <c r="AX327" s="356"/>
      <c r="AY327" s="431" t="s">
        <v>38</v>
      </c>
      <c r="AZ327" s="359">
        <f t="shared" si="210"/>
        <v>0</v>
      </c>
      <c r="BA327" s="360"/>
      <c r="BB327" s="433">
        <f>IF($AG$2&gt;0,"限度超過",U326)</f>
        <v>0</v>
      </c>
      <c r="BC327" s="356"/>
      <c r="BD327" s="448" t="s">
        <v>38</v>
      </c>
      <c r="BE327" s="81">
        <f t="shared" si="211"/>
        <v>0</v>
      </c>
      <c r="BF327" s="82"/>
      <c r="BG327" s="100"/>
      <c r="BH327" s="12"/>
      <c r="BI327" s="30" t="s">
        <v>38</v>
      </c>
      <c r="BJ327" s="29">
        <f t="shared" si="212"/>
        <v>0</v>
      </c>
      <c r="BK327" s="30"/>
      <c r="BL327" s="100"/>
      <c r="BM327" s="12"/>
      <c r="BN327" s="30" t="s">
        <v>38</v>
      </c>
      <c r="BO327" s="29">
        <f t="shared" si="213"/>
        <v>0</v>
      </c>
      <c r="BP327" s="30"/>
      <c r="BQ327" s="458"/>
      <c r="BR327" s="12"/>
      <c r="BS327" s="12"/>
      <c r="BT327" s="12"/>
      <c r="BU327" s="12"/>
      <c r="BV327" s="12"/>
      <c r="BW327" s="12"/>
      <c r="BX327" s="4"/>
      <c r="BY327" s="4"/>
      <c r="BZ327" s="4"/>
      <c r="CA327" s="4"/>
      <c r="CB327" s="4"/>
      <c r="CC327" s="4"/>
      <c r="CD327" s="4"/>
      <c r="CE327" s="4"/>
      <c r="CF327" s="4"/>
      <c r="CG327" s="4"/>
      <c r="CH327" s="4"/>
      <c r="CI327" s="13"/>
    </row>
    <row r="328" spans="1:87" ht="18.75" customHeight="1">
      <c r="A328" s="200"/>
      <c r="B328" s="75" t="s">
        <v>118</v>
      </c>
      <c r="C328" s="12"/>
      <c r="D328" s="160"/>
      <c r="E328" s="161"/>
      <c r="F328" s="12"/>
      <c r="G328" s="50"/>
      <c r="H328" s="162"/>
      <c r="I328" s="159"/>
      <c r="J328" s="50"/>
      <c r="K328" s="180"/>
      <c r="L328" s="12"/>
      <c r="M328" s="86"/>
      <c r="N328" s="86"/>
      <c r="O328" s="181"/>
      <c r="P328" s="181"/>
      <c r="Q328" s="156"/>
      <c r="R328" s="157"/>
      <c r="S328" s="49"/>
      <c r="T328" s="50"/>
      <c r="U328" s="182"/>
      <c r="V328" s="50"/>
      <c r="W328" s="4"/>
      <c r="X328" s="26"/>
      <c r="Y328" s="170"/>
      <c r="Z328" s="185"/>
      <c r="AC328" s="489"/>
      <c r="AD328" s="4"/>
      <c r="AE328" s="74"/>
      <c r="AF328" s="234"/>
      <c r="AG328" s="26"/>
      <c r="AH328" s="26"/>
      <c r="AI328" s="174"/>
      <c r="AJ328" s="174"/>
      <c r="AK328" s="174"/>
      <c r="AL328" s="174"/>
      <c r="AM328" s="174"/>
      <c r="AN328" s="386"/>
      <c r="AO328" s="364"/>
      <c r="AP328" s="395"/>
      <c r="AQ328" s="365"/>
      <c r="AR328" s="365"/>
      <c r="AS328" s="386"/>
      <c r="AT328" s="386"/>
      <c r="AU328" s="386"/>
      <c r="AV328" s="386"/>
      <c r="AW328" s="386"/>
      <c r="AX328" s="356"/>
      <c r="AY328" s="434"/>
      <c r="AZ328" s="467" t="str">
        <f>IF($AG$2&gt;0,"限度超過","－")</f>
        <v>－</v>
      </c>
      <c r="BA328" s="365"/>
      <c r="BB328" s="466" t="str">
        <f>IF(BB326=BB327,"OK","エラー")</f>
        <v>OK</v>
      </c>
      <c r="BC328" s="356"/>
      <c r="BD328" s="449"/>
      <c r="BF328" s="4" t="s">
        <v>257</v>
      </c>
      <c r="BH328" s="12"/>
      <c r="BM328" s="12"/>
      <c r="BQ328" s="459"/>
      <c r="BR328" s="12"/>
      <c r="BS328" s="12"/>
      <c r="BT328" s="12"/>
      <c r="BU328" s="12"/>
      <c r="BV328" s="12"/>
      <c r="BW328" s="12"/>
      <c r="BX328" s="4"/>
      <c r="BY328" s="4"/>
      <c r="BZ328" s="4"/>
      <c r="CA328" s="4"/>
      <c r="CB328" s="4"/>
      <c r="CC328" s="4"/>
      <c r="CD328" s="4"/>
      <c r="CE328" s="4"/>
      <c r="CF328" s="4"/>
      <c r="CG328" s="4"/>
      <c r="CH328" s="4"/>
      <c r="CI328" s="13"/>
    </row>
    <row r="329" spans="1:87" ht="18.75" customHeight="1">
      <c r="A329" s="58" t="s">
        <v>1</v>
      </c>
      <c r="B329" s="52"/>
      <c r="C329" s="187">
        <f>IF(H326&gt;0,$X$279,0)</f>
        <v>0</v>
      </c>
      <c r="D329" s="201" t="s">
        <v>6</v>
      </c>
      <c r="E329" s="60" t="s">
        <v>131</v>
      </c>
      <c r="F329" s="1377">
        <f>K323</f>
        <v>0</v>
      </c>
      <c r="G329" s="1377"/>
      <c r="H329" s="214" t="s">
        <v>5</v>
      </c>
      <c r="I329" s="1388" t="s">
        <v>14</v>
      </c>
      <c r="J329" s="1388"/>
      <c r="K329" s="1377">
        <f>C329*F329</f>
        <v>0</v>
      </c>
      <c r="L329" s="1377"/>
      <c r="M329" s="202" t="s">
        <v>6</v>
      </c>
      <c r="N329" s="202"/>
      <c r="O329" s="203"/>
      <c r="P329" s="203"/>
      <c r="Q329" s="63"/>
      <c r="R329" s="204"/>
      <c r="S329" s="59"/>
      <c r="T329" s="27"/>
      <c r="U329" s="205"/>
      <c r="V329" s="27"/>
      <c r="W329" s="186"/>
      <c r="X329" s="187"/>
      <c r="Y329" s="206"/>
      <c r="Z329" s="163"/>
      <c r="AC329" s="489"/>
      <c r="AD329" s="4"/>
      <c r="AE329" s="74"/>
      <c r="AF329" s="235"/>
      <c r="AG329" s="26"/>
      <c r="AH329" s="26"/>
      <c r="AI329" s="174"/>
      <c r="AJ329" s="174"/>
      <c r="AK329" s="174"/>
      <c r="AL329" s="174"/>
      <c r="AM329" s="174"/>
      <c r="AN329" s="386"/>
      <c r="AO329" s="383" t="s">
        <v>238</v>
      </c>
      <c r="AP329" s="1400" t="s">
        <v>221</v>
      </c>
      <c r="AQ329" s="1400"/>
      <c r="AR329" s="1400"/>
      <c r="AS329" s="386"/>
      <c r="AT329" s="1452" t="s">
        <v>238</v>
      </c>
      <c r="AU329" s="1452"/>
      <c r="AV329" s="384"/>
      <c r="AW329" s="384"/>
      <c r="AX329" s="356"/>
      <c r="AY329" s="1467" t="s">
        <v>238</v>
      </c>
      <c r="AZ329" s="1452"/>
      <c r="BA329" s="365"/>
      <c r="BB329" s="436"/>
      <c r="BC329" s="356"/>
      <c r="BD329" s="1429" t="s">
        <v>238</v>
      </c>
      <c r="BE329" s="1425"/>
      <c r="BF329" s="4" t="s">
        <v>258</v>
      </c>
      <c r="BH329" s="12"/>
      <c r="BI329" s="1425" t="s">
        <v>238</v>
      </c>
      <c r="BJ329" s="1425"/>
      <c r="BM329" s="12"/>
      <c r="BN329" s="1425" t="s">
        <v>238</v>
      </c>
      <c r="BO329" s="1425"/>
      <c r="BQ329" s="459"/>
      <c r="BR329" s="12"/>
      <c r="BS329" s="12"/>
      <c r="BT329" s="12"/>
      <c r="BU329" s="12"/>
      <c r="BV329" s="12"/>
      <c r="BW329" s="12"/>
      <c r="BX329" s="4"/>
      <c r="BY329" s="4"/>
      <c r="BZ329" s="4"/>
      <c r="CA329" s="4"/>
      <c r="CB329" s="4"/>
      <c r="CC329" s="4"/>
      <c r="CD329" s="4"/>
      <c r="CE329" s="4"/>
      <c r="CF329" s="4"/>
      <c r="CG329" s="4"/>
      <c r="CH329" s="4"/>
      <c r="CI329" s="13"/>
    </row>
    <row r="330" spans="1:87" ht="18.75" customHeight="1">
      <c r="D330" s="101"/>
      <c r="E330" s="70"/>
      <c r="G330" s="9"/>
      <c r="H330" s="102"/>
      <c r="I330" s="5"/>
      <c r="J330" s="9"/>
      <c r="K330" s="18"/>
      <c r="M330" s="103"/>
      <c r="P330" s="103"/>
      <c r="Q330" s="70"/>
      <c r="R330" s="104"/>
      <c r="S330" s="68"/>
      <c r="T330" s="68"/>
      <c r="U330" s="68"/>
      <c r="V330" s="18"/>
      <c r="AC330" s="489"/>
      <c r="AD330" s="4"/>
      <c r="AE330" s="74"/>
      <c r="AF330" s="231"/>
      <c r="AG330" s="26"/>
      <c r="AH330" s="26"/>
      <c r="AI330" s="174"/>
      <c r="AJ330" s="174"/>
      <c r="AK330" s="174"/>
      <c r="AL330" s="174"/>
      <c r="AM330" s="174"/>
      <c r="AN330" s="386"/>
      <c r="AO330" s="368" t="s">
        <v>217</v>
      </c>
      <c r="AP330" s="357"/>
      <c r="AQ330" s="396"/>
      <c r="AR330" s="396"/>
      <c r="AS330" s="386"/>
      <c r="AT330" s="1454" t="s">
        <v>218</v>
      </c>
      <c r="AU330" s="1454"/>
      <c r="AV330" s="1454"/>
      <c r="AW330" s="1454"/>
      <c r="AX330" s="356"/>
      <c r="AY330" s="428" t="s">
        <v>224</v>
      </c>
      <c r="AZ330" s="1409" t="s">
        <v>223</v>
      </c>
      <c r="BA330" s="1409"/>
      <c r="BB330" s="1410"/>
      <c r="BC330" s="356"/>
      <c r="BD330" s="1426" t="s">
        <v>261</v>
      </c>
      <c r="BE330" s="1427"/>
      <c r="BF330" s="1427"/>
      <c r="BG330" s="1427"/>
      <c r="BH330" s="12"/>
      <c r="BI330" s="437" t="s">
        <v>262</v>
      </c>
      <c r="BJ330" s="1438" t="s">
        <v>260</v>
      </c>
      <c r="BK330" s="1438"/>
      <c r="BL330" s="1438"/>
      <c r="BM330" s="12"/>
      <c r="BN330" s="12"/>
      <c r="BO330" s="143" t="s">
        <v>263</v>
      </c>
      <c r="BP330" s="12" t="s">
        <v>88</v>
      </c>
      <c r="BQ330" s="446"/>
      <c r="BR330" s="12"/>
      <c r="BS330" s="12"/>
      <c r="BT330" s="12"/>
      <c r="BU330" s="12"/>
      <c r="BV330" s="12"/>
      <c r="BW330" s="12"/>
      <c r="BX330" s="4"/>
      <c r="BY330" s="4"/>
      <c r="BZ330" s="4"/>
      <c r="CA330" s="4"/>
      <c r="CB330" s="4"/>
      <c r="CC330" s="4"/>
      <c r="CD330" s="4"/>
      <c r="CE330" s="4"/>
      <c r="CF330" s="4"/>
      <c r="CG330" s="4"/>
      <c r="CH330" s="4"/>
      <c r="CI330" s="13"/>
    </row>
    <row r="331" spans="1:87" ht="18.75" customHeight="1">
      <c r="A331" s="194" t="s">
        <v>45</v>
      </c>
      <c r="B331" s="1396">
        <f>IF(I331=1,B65,0)</f>
        <v>0</v>
      </c>
      <c r="C331" s="1396"/>
      <c r="D331" s="1396"/>
      <c r="E331" s="196" t="s">
        <v>11</v>
      </c>
      <c r="F331" s="1398" t="s">
        <v>57</v>
      </c>
      <c r="G331" s="1398"/>
      <c r="H331" s="1398"/>
      <c r="I331" s="1380">
        <f>IF(I65=1,1,0)</f>
        <v>0</v>
      </c>
      <c r="J331" s="1381"/>
      <c r="K331" s="1515">
        <f>IF($AG$2&gt;0,0,IF((X333+X334+X335+X336+X337+Z332+Z333+Z334+Z335)&lt;0,"＊＊エラー介護該当者は①から入力＊＊",0))</f>
        <v>0</v>
      </c>
      <c r="L331" s="1516"/>
      <c r="M331" s="1516"/>
      <c r="N331" s="1516"/>
      <c r="O331" s="1516"/>
      <c r="P331" s="1516"/>
      <c r="Q331" s="1516"/>
      <c r="R331" s="1516"/>
      <c r="S331" s="1517"/>
      <c r="T331" s="195" t="s">
        <v>47</v>
      </c>
      <c r="U331" s="1417">
        <f>IF(U336&gt;0,"介護分",0)</f>
        <v>0</v>
      </c>
      <c r="V331" s="1418"/>
      <c r="W331" s="1419" t="s">
        <v>46</v>
      </c>
      <c r="X331" s="1278"/>
      <c r="Y331" s="1278"/>
      <c r="Z331" s="1279"/>
      <c r="AC331" s="489"/>
      <c r="AD331" s="4"/>
      <c r="AE331" s="74"/>
      <c r="AF331" s="236" t="s">
        <v>117</v>
      </c>
      <c r="AG331" s="26"/>
      <c r="AH331" s="274">
        <f>IF(K333=0,0,IF(K333&lt;12,1,0))</f>
        <v>0</v>
      </c>
      <c r="AI331" s="174"/>
      <c r="AJ331" s="174"/>
      <c r="AK331" s="174"/>
      <c r="AL331" s="174"/>
      <c r="AM331" s="174"/>
      <c r="AN331" s="397" t="s">
        <v>149</v>
      </c>
      <c r="AO331" s="1439" t="s">
        <v>46</v>
      </c>
      <c r="AP331" s="1440"/>
      <c r="AQ331" s="1441">
        <f>IF(AR70=0,0,ROUNDDOWN(AR337/AR70,8))</f>
        <v>0</v>
      </c>
      <c r="AR331" s="1442"/>
      <c r="AS331" s="386"/>
      <c r="AT331" s="1439" t="s">
        <v>213</v>
      </c>
      <c r="AU331" s="1440"/>
      <c r="AV331" s="1464">
        <f>IF($AG$272&gt;0,0,AR337-AR336)</f>
        <v>0</v>
      </c>
      <c r="AW331" s="1465"/>
      <c r="AX331" s="356"/>
      <c r="AY331" s="1466" t="s">
        <v>46</v>
      </c>
      <c r="AZ331" s="1440"/>
      <c r="BA331" s="1444">
        <f>IF(R333+R336=0,0,IF(K334&gt;K333,"期割がアンマッチ使用禁止↓",0))</f>
        <v>0</v>
      </c>
      <c r="BB331" s="1445"/>
      <c r="BC331" s="356"/>
      <c r="BD331" s="1435" t="s">
        <v>46</v>
      </c>
      <c r="BE331" s="1434"/>
      <c r="BF331" s="1431"/>
      <c r="BG331" s="1433"/>
      <c r="BH331" s="12"/>
      <c r="BI331" s="1253" t="s">
        <v>46</v>
      </c>
      <c r="BJ331" s="1434"/>
      <c r="BK331" s="1431"/>
      <c r="BL331" s="1433"/>
      <c r="BM331" s="12"/>
      <c r="BN331" s="1253" t="s">
        <v>46</v>
      </c>
      <c r="BO331" s="1434"/>
      <c r="BP331" s="1431"/>
      <c r="BQ331" s="1432"/>
      <c r="BR331" s="12"/>
      <c r="BS331" s="12"/>
      <c r="BT331" s="12"/>
      <c r="BU331" s="12"/>
      <c r="BV331" s="12"/>
      <c r="BW331" s="12"/>
      <c r="BX331" s="32"/>
      <c r="BY331" s="33" t="str">
        <f>BY321</f>
        <v>料率</v>
      </c>
      <c r="BZ331" s="33">
        <f>BZ321</f>
        <v>7</v>
      </c>
      <c r="CA331" s="33">
        <f>CA321</f>
        <v>5</v>
      </c>
      <c r="CB331" s="33">
        <f>CB321</f>
        <v>2</v>
      </c>
      <c r="CC331" s="4"/>
      <c r="CD331" s="4"/>
      <c r="CE331" s="4"/>
      <c r="CF331" s="4"/>
      <c r="CG331" s="4"/>
      <c r="CH331" s="4"/>
      <c r="CI331" s="13"/>
    </row>
    <row r="332" spans="1:87" ht="18.75" customHeight="1">
      <c r="A332" s="165"/>
      <c r="B332" s="12"/>
      <c r="C332" s="75" t="s">
        <v>33</v>
      </c>
      <c r="D332" s="12"/>
      <c r="E332" s="12"/>
      <c r="F332" s="1394" t="s">
        <v>433</v>
      </c>
      <c r="G332" s="1394"/>
      <c r="H332" s="1394"/>
      <c r="I332" s="93"/>
      <c r="J332" s="12"/>
      <c r="K332" s="76" t="s">
        <v>9</v>
      </c>
      <c r="L332" s="12"/>
      <c r="M332" s="1549">
        <f>IF(R333+R336=0, 0, IF(K334=K333,0,IF(K334&gt;K333,"年度途中で資格変動有？保険料内訳のみ使用可能",0)))</f>
        <v>0</v>
      </c>
      <c r="N332" s="1549"/>
      <c r="O332" s="1549"/>
      <c r="P332" s="1549"/>
      <c r="Q332" s="1549"/>
      <c r="R332" s="1549"/>
      <c r="S332" s="1550"/>
      <c r="T332" s="72" t="s">
        <v>30</v>
      </c>
      <c r="U332" s="105">
        <f>R333+R336</f>
        <v>0</v>
      </c>
      <c r="V332" s="88" t="s">
        <v>6</v>
      </c>
      <c r="W332" s="80" t="s">
        <v>34</v>
      </c>
      <c r="X332" s="29">
        <f t="shared" ref="X332:X337" si="215">IF($AH$13&gt;0,0,AZ332)</f>
        <v>0</v>
      </c>
      <c r="Y332" s="80" t="s">
        <v>39</v>
      </c>
      <c r="Z332" s="31">
        <f>IF($AH$13&gt;0,0,BB332)</f>
        <v>0</v>
      </c>
      <c r="AC332" s="489"/>
      <c r="AD332" s="4"/>
      <c r="AE332" s="74"/>
      <c r="AF332" s="217">
        <f>AF333+AF336+AF339</f>
        <v>0</v>
      </c>
      <c r="AG332" s="4"/>
      <c r="AH332" s="4"/>
      <c r="AI332" s="174"/>
      <c r="AJ332" s="174"/>
      <c r="AK332" s="174"/>
      <c r="AL332" s="174"/>
      <c r="AM332" s="174"/>
      <c r="AN332" s="386"/>
      <c r="AO332" s="358" t="s">
        <v>34</v>
      </c>
      <c r="AP332" s="387">
        <f>ROUND(AP66*AQ331,0)</f>
        <v>0</v>
      </c>
      <c r="AQ332" s="360" t="s">
        <v>39</v>
      </c>
      <c r="AR332" s="388">
        <f>ROUND(AR66*AQ331,0)</f>
        <v>0</v>
      </c>
      <c r="AS332" s="386"/>
      <c r="AT332" s="361" t="s">
        <v>34</v>
      </c>
      <c r="AU332" s="387">
        <f>IF(AV331=0,0,IF(AV331&gt;=10,1,IF(AV331&lt;=-10,-1,0)))</f>
        <v>0</v>
      </c>
      <c r="AV332" s="389" t="s">
        <v>39</v>
      </c>
      <c r="AW332" s="388">
        <f>IF(AV331=0,0,IF(AV331&gt;=4,1,IF(AV331&lt;=-4,-1,0)))</f>
        <v>0</v>
      </c>
      <c r="AX332" s="356"/>
      <c r="AY332" s="429" t="s">
        <v>34</v>
      </c>
      <c r="AZ332" s="359">
        <f t="shared" ref="AZ332:AZ337" si="216">IF($AG$2&gt;0,"限度超過",AP332+AU332)</f>
        <v>0</v>
      </c>
      <c r="BA332" s="360" t="s">
        <v>39</v>
      </c>
      <c r="BB332" s="430">
        <f>IF($AG$2&gt;0,"限度超過",AR332+AW332)</f>
        <v>0</v>
      </c>
      <c r="BC332" s="356"/>
      <c r="BD332" s="448" t="s">
        <v>34</v>
      </c>
      <c r="BE332" s="81">
        <f t="shared" ref="BE332:BE337" si="217">BE322</f>
        <v>0</v>
      </c>
      <c r="BF332" s="82" t="s">
        <v>39</v>
      </c>
      <c r="BG332" s="29">
        <f>BG322</f>
        <v>0</v>
      </c>
      <c r="BH332" s="12"/>
      <c r="BI332" s="80" t="s">
        <v>34</v>
      </c>
      <c r="BJ332" s="29">
        <f t="shared" ref="BJ332:BJ337" si="218">IF($A$353=$L$353,"限度超過",IF(BE332=0,0,BE332/$S$271))</f>
        <v>0</v>
      </c>
      <c r="BK332" s="80" t="s">
        <v>39</v>
      </c>
      <c r="BL332" s="29">
        <f>IF($A$353=$L$353,"限度超過",IF(BG332=0,0,BG332/$S$271))</f>
        <v>0</v>
      </c>
      <c r="BM332" s="12"/>
      <c r="BN332" s="30" t="s">
        <v>34</v>
      </c>
      <c r="BO332" s="29">
        <f t="shared" ref="BO332:BO337" si="219">IF($A$353=$L$353,"限度超過",IF($S$271&lt;=5,0,BJ332))</f>
        <v>0</v>
      </c>
      <c r="BP332" s="80" t="s">
        <v>39</v>
      </c>
      <c r="BQ332" s="457">
        <f>IF($A$353=$L$353,"限度超過",IF($S$271&lt;=5,0,BL332))</f>
        <v>0</v>
      </c>
      <c r="BR332" s="12"/>
      <c r="BS332" s="12"/>
      <c r="BT332" s="12"/>
      <c r="BU332" s="12"/>
      <c r="BV332" s="12"/>
      <c r="BW332" s="12"/>
      <c r="BX332" s="32" t="s">
        <v>17</v>
      </c>
      <c r="BY332" s="44">
        <v>0</v>
      </c>
      <c r="BZ332" s="45">
        <f>$CF$274</f>
        <v>5440</v>
      </c>
      <c r="CA332" s="45">
        <f>$CG$274</f>
        <v>3880</v>
      </c>
      <c r="CB332" s="45">
        <f>$CH$274</f>
        <v>1560</v>
      </c>
      <c r="CC332" s="4"/>
      <c r="CD332" s="4"/>
      <c r="CE332" s="4"/>
      <c r="CF332" s="4"/>
      <c r="CG332" s="4"/>
      <c r="CH332" s="4"/>
      <c r="CI332" s="13"/>
    </row>
    <row r="333" spans="1:87" ht="18.75" customHeight="1">
      <c r="A333" s="1378" t="s">
        <v>0</v>
      </c>
      <c r="B333" s="1556" t="s">
        <v>129</v>
      </c>
      <c r="C333" s="1382">
        <f>IF(K333&gt;0,C67,0)</f>
        <v>0</v>
      </c>
      <c r="D333" s="1010" t="s">
        <v>58</v>
      </c>
      <c r="E333" s="1389">
        <f>IF(H336&gt;0,$CE$277, 0)</f>
        <v>0</v>
      </c>
      <c r="F333" s="1395" t="s">
        <v>22</v>
      </c>
      <c r="G333" s="1010" t="s">
        <v>59</v>
      </c>
      <c r="H333" s="85">
        <f>IF(H336&gt;0,$CE$273,0)</f>
        <v>0</v>
      </c>
      <c r="I333" s="1385" t="s">
        <v>22</v>
      </c>
      <c r="J333" s="1010" t="s">
        <v>59</v>
      </c>
      <c r="K333" s="51">
        <f>入力画面!I39</f>
        <v>0</v>
      </c>
      <c r="L333" s="52" t="s">
        <v>5</v>
      </c>
      <c r="M333" s="1395"/>
      <c r="N333" s="1527"/>
      <c r="O333" s="86"/>
      <c r="P333" s="1392" t="s">
        <v>130</v>
      </c>
      <c r="Q333" s="1392"/>
      <c r="R333" s="1391">
        <f>ROUNDDOWN(IF(((C333-E333)*H333/H334)*K333/K334&lt;0,0,((C333-E333)*H333/H334)*K333/K334),0)</f>
        <v>0</v>
      </c>
      <c r="S333" s="1524" t="s">
        <v>6</v>
      </c>
      <c r="T333" s="72" t="s">
        <v>1</v>
      </c>
      <c r="U333" s="105">
        <f>IF(H336=0,0,K339)</f>
        <v>0</v>
      </c>
      <c r="V333" s="88" t="s">
        <v>6</v>
      </c>
      <c r="W333" s="30" t="s">
        <v>35</v>
      </c>
      <c r="X333" s="29">
        <f t="shared" si="215"/>
        <v>0</v>
      </c>
      <c r="Y333" s="30" t="s">
        <v>40</v>
      </c>
      <c r="Z333" s="31">
        <f>IF($AH$13&gt;0,0,BB333)</f>
        <v>0</v>
      </c>
      <c r="AC333" s="489"/>
      <c r="AD333" s="4"/>
      <c r="AE333" s="74"/>
      <c r="AF333" s="1416">
        <f>ROUNDDOWN(IF(((C333-E333)*H333/H334)&lt;0,0,((C333-E333)*H333/H334)),0)</f>
        <v>0</v>
      </c>
      <c r="AG333" s="4"/>
      <c r="AH333" s="4"/>
      <c r="AI333" s="174"/>
      <c r="AJ333" s="174"/>
      <c r="AK333" s="174"/>
      <c r="AL333" s="174"/>
      <c r="AM333" s="174"/>
      <c r="AN333" s="386"/>
      <c r="AO333" s="361" t="s">
        <v>35</v>
      </c>
      <c r="AP333" s="387">
        <f>ROUND(AP67*AQ331,0)</f>
        <v>0</v>
      </c>
      <c r="AQ333" s="360" t="s">
        <v>40</v>
      </c>
      <c r="AR333" s="388">
        <f>ROUND(AR67*AQ331,0)</f>
        <v>0</v>
      </c>
      <c r="AS333" s="386"/>
      <c r="AT333" s="361" t="s">
        <v>35</v>
      </c>
      <c r="AU333" s="387">
        <f>IF(AV331=0,0,IF(AV331&gt;=9,1,IF(AV331&lt;=-9,-1,0)))</f>
        <v>0</v>
      </c>
      <c r="AV333" s="389" t="s">
        <v>40</v>
      </c>
      <c r="AW333" s="388">
        <f>IF(AV331=0,0,IF(AV331&gt;=3,1,IF(AV331&lt;=-3,-1,0)))</f>
        <v>0</v>
      </c>
      <c r="AX333" s="356"/>
      <c r="AY333" s="431" t="s">
        <v>35</v>
      </c>
      <c r="AZ333" s="359">
        <f t="shared" si="216"/>
        <v>0</v>
      </c>
      <c r="BA333" s="360" t="s">
        <v>40</v>
      </c>
      <c r="BB333" s="430">
        <f>IF($AG$2&gt;0,"限度超過",AR333+AW333)</f>
        <v>0</v>
      </c>
      <c r="BC333" s="356"/>
      <c r="BD333" s="448" t="s">
        <v>35</v>
      </c>
      <c r="BE333" s="81">
        <f t="shared" si="217"/>
        <v>0</v>
      </c>
      <c r="BF333" s="82" t="s">
        <v>40</v>
      </c>
      <c r="BG333" s="29">
        <f>BG323</f>
        <v>0</v>
      </c>
      <c r="BH333" s="12"/>
      <c r="BI333" s="30" t="s">
        <v>35</v>
      </c>
      <c r="BJ333" s="29">
        <f t="shared" si="218"/>
        <v>0</v>
      </c>
      <c r="BK333" s="30" t="s">
        <v>40</v>
      </c>
      <c r="BL333" s="29">
        <f>IF($A$353=$L$353,"限度超過",IF(BG333=0,0,BG333/$S$271))</f>
        <v>0</v>
      </c>
      <c r="BM333" s="12"/>
      <c r="BN333" s="30" t="s">
        <v>35</v>
      </c>
      <c r="BO333" s="29">
        <f t="shared" si="219"/>
        <v>0</v>
      </c>
      <c r="BP333" s="30" t="s">
        <v>40</v>
      </c>
      <c r="BQ333" s="457">
        <f>IF($A$353=$L$353,"限度超過",IF($S$271&lt;=5,0,BL333))</f>
        <v>0</v>
      </c>
      <c r="BR333" s="12"/>
      <c r="BS333" s="12"/>
      <c r="BT333" s="12"/>
      <c r="BU333" s="12"/>
      <c r="BV333" s="12"/>
      <c r="BW333" s="12"/>
      <c r="BX333" s="32" t="s">
        <v>8</v>
      </c>
      <c r="BY333" s="45">
        <f>K326</f>
        <v>0</v>
      </c>
      <c r="BZ333" s="45">
        <f t="shared" ref="BZ333:CB335" si="220">BY333</f>
        <v>0</v>
      </c>
      <c r="CA333" s="45">
        <f t="shared" si="220"/>
        <v>0</v>
      </c>
      <c r="CB333" s="45">
        <f t="shared" si="220"/>
        <v>0</v>
      </c>
      <c r="CC333" s="4"/>
      <c r="CD333" s="4"/>
      <c r="CE333" s="4"/>
      <c r="CF333" s="4"/>
      <c r="CG333" s="4"/>
      <c r="CH333" s="4"/>
      <c r="CI333" s="13"/>
    </row>
    <row r="334" spans="1:87" ht="18.75" customHeight="1">
      <c r="A334" s="1378"/>
      <c r="B334" s="1556"/>
      <c r="C334" s="1382"/>
      <c r="D334" s="1010"/>
      <c r="E334" s="1389"/>
      <c r="F334" s="1395"/>
      <c r="G334" s="1010"/>
      <c r="H334" s="39">
        <v>100</v>
      </c>
      <c r="I334" s="1385"/>
      <c r="J334" s="1010"/>
      <c r="K334" s="55">
        <v>12</v>
      </c>
      <c r="L334" s="12" t="s">
        <v>5</v>
      </c>
      <c r="M334" s="1395"/>
      <c r="N334" s="1527"/>
      <c r="O334" s="86"/>
      <c r="P334" s="1392"/>
      <c r="Q334" s="1392"/>
      <c r="R334" s="1391"/>
      <c r="S334" s="1524"/>
      <c r="T334" s="72" t="s">
        <v>29</v>
      </c>
      <c r="U334" s="105">
        <f>U332+U333</f>
        <v>0</v>
      </c>
      <c r="V334" s="88" t="s">
        <v>6</v>
      </c>
      <c r="W334" s="30" t="s">
        <v>36</v>
      </c>
      <c r="X334" s="29">
        <f t="shared" si="215"/>
        <v>0</v>
      </c>
      <c r="Y334" s="30" t="s">
        <v>41</v>
      </c>
      <c r="Z334" s="31">
        <f>IF($AH$13&gt;0,0,BB334)</f>
        <v>0</v>
      </c>
      <c r="AC334" s="489"/>
      <c r="AD334" s="4"/>
      <c r="AE334" s="486"/>
      <c r="AF334" s="1416"/>
      <c r="AG334" s="4"/>
      <c r="AI334" s="174"/>
      <c r="AJ334" s="174"/>
      <c r="AK334" s="174"/>
      <c r="AL334" s="174"/>
      <c r="AM334" s="174"/>
      <c r="AN334" s="386"/>
      <c r="AO334" s="361" t="s">
        <v>36</v>
      </c>
      <c r="AP334" s="387">
        <f>ROUND(AP68*AQ331,0)</f>
        <v>0</v>
      </c>
      <c r="AQ334" s="360" t="s">
        <v>41</v>
      </c>
      <c r="AR334" s="388">
        <f>ROUND(AR68*AQ331,0)</f>
        <v>0</v>
      </c>
      <c r="AS334" s="386"/>
      <c r="AT334" s="361" t="s">
        <v>36</v>
      </c>
      <c r="AU334" s="387">
        <f>IF(AV331=0,0,IF(AV331&gt;=8,1,IF(AV331&lt;=-8,-1,0)))</f>
        <v>0</v>
      </c>
      <c r="AV334" s="389" t="s">
        <v>41</v>
      </c>
      <c r="AW334" s="388">
        <f>IF(AV331=0,0,IF(AV331&gt;=2,1,IF(AV331&lt;=-2,-1,0)))</f>
        <v>0</v>
      </c>
      <c r="AX334" s="356"/>
      <c r="AY334" s="431" t="s">
        <v>36</v>
      </c>
      <c r="AZ334" s="359">
        <f t="shared" si="216"/>
        <v>0</v>
      </c>
      <c r="BA334" s="360" t="s">
        <v>41</v>
      </c>
      <c r="BB334" s="430">
        <f>IF($AG$2&gt;0,"限度超過",AR334+AW334)</f>
        <v>0</v>
      </c>
      <c r="BC334" s="356"/>
      <c r="BD334" s="448" t="s">
        <v>36</v>
      </c>
      <c r="BE334" s="81">
        <f t="shared" si="217"/>
        <v>0</v>
      </c>
      <c r="BF334" s="82" t="s">
        <v>41</v>
      </c>
      <c r="BG334" s="29">
        <f>BG324</f>
        <v>0</v>
      </c>
      <c r="BH334" s="12"/>
      <c r="BI334" s="30" t="s">
        <v>36</v>
      </c>
      <c r="BJ334" s="29">
        <f t="shared" si="218"/>
        <v>0</v>
      </c>
      <c r="BK334" s="30" t="s">
        <v>41</v>
      </c>
      <c r="BL334" s="29">
        <f>IF($A$353=$L$353,"限度超過",IF(BG334=0,0,BG334/$S$271))</f>
        <v>0</v>
      </c>
      <c r="BM334" s="12"/>
      <c r="BN334" s="30" t="s">
        <v>36</v>
      </c>
      <c r="BO334" s="29">
        <f t="shared" si="219"/>
        <v>0</v>
      </c>
      <c r="BP334" s="30" t="s">
        <v>41</v>
      </c>
      <c r="BQ334" s="457">
        <f>IF($A$353=$L$353,"限度超過",IF($S$271&lt;=5,0,BL334))</f>
        <v>0</v>
      </c>
      <c r="BR334" s="12"/>
      <c r="BS334" s="12"/>
      <c r="BT334" s="12"/>
      <c r="BU334" s="12"/>
      <c r="BV334" s="12"/>
      <c r="BW334" s="12"/>
      <c r="BX334" s="32" t="s">
        <v>25</v>
      </c>
      <c r="BY334" s="45">
        <f>K327</f>
        <v>0</v>
      </c>
      <c r="BZ334" s="45">
        <f t="shared" si="220"/>
        <v>0</v>
      </c>
      <c r="CA334" s="45">
        <f t="shared" si="220"/>
        <v>0</v>
      </c>
      <c r="CB334" s="45">
        <f t="shared" si="220"/>
        <v>0</v>
      </c>
      <c r="CC334" s="4"/>
      <c r="CD334" s="4"/>
      <c r="CE334" s="4"/>
      <c r="CF334" s="4"/>
      <c r="CG334" s="4"/>
      <c r="CH334" s="4"/>
      <c r="CI334" s="13"/>
    </row>
    <row r="335" spans="1:87" ht="18.75" customHeight="1">
      <c r="A335" s="165"/>
      <c r="B335" s="12"/>
      <c r="C335" s="50"/>
      <c r="D335" s="12"/>
      <c r="E335" s="12"/>
      <c r="F335" s="12"/>
      <c r="G335" s="12"/>
      <c r="H335" s="91"/>
      <c r="I335" s="75"/>
      <c r="J335" s="75"/>
      <c r="K335" s="92"/>
      <c r="L335" s="75"/>
      <c r="M335" s="93"/>
      <c r="N335" s="94"/>
      <c r="O335" s="42">
        <f>IF(H336=0,0,$D$271)</f>
        <v>0</v>
      </c>
      <c r="P335" s="463">
        <f>IF(O336=0,0,"軽減額")</f>
        <v>0</v>
      </c>
      <c r="Q335" s="12"/>
      <c r="R335" s="95"/>
      <c r="S335" s="49"/>
      <c r="T335" s="96" t="s">
        <v>31</v>
      </c>
      <c r="U335" s="105">
        <f>ROUNDDOWN(U334,-2)</f>
        <v>0</v>
      </c>
      <c r="V335" s="88" t="s">
        <v>6</v>
      </c>
      <c r="W335" s="30" t="s">
        <v>43</v>
      </c>
      <c r="X335" s="29">
        <f t="shared" si="215"/>
        <v>0</v>
      </c>
      <c r="Y335" s="30" t="s">
        <v>42</v>
      </c>
      <c r="Z335" s="31">
        <f>IF($AH$13&gt;0,0,BB335)</f>
        <v>0</v>
      </c>
      <c r="AC335" s="489"/>
      <c r="AD335" s="4"/>
      <c r="AE335" s="497" t="str">
        <f>IF($AH$13&gt;0,"－",IF($AG$2&gt;0,"限度超過",IF(U336=Z336,"OK","ｱﾝﾏｯﾁ")))</f>
        <v>OK</v>
      </c>
      <c r="AF335" s="496"/>
      <c r="AG335" s="4"/>
      <c r="AI335" s="174"/>
      <c r="AJ335" s="174"/>
      <c r="AK335" s="174"/>
      <c r="AL335" s="174"/>
      <c r="AM335" s="174"/>
      <c r="AN335" s="386"/>
      <c r="AO335" s="361" t="s">
        <v>43</v>
      </c>
      <c r="AP335" s="387">
        <f>ROUND(AP69*AQ331,0)</f>
        <v>0</v>
      </c>
      <c r="AQ335" s="360" t="s">
        <v>42</v>
      </c>
      <c r="AR335" s="388">
        <f>ROUND(AR69*AQ331,0)</f>
        <v>0</v>
      </c>
      <c r="AS335" s="386"/>
      <c r="AT335" s="361" t="s">
        <v>43</v>
      </c>
      <c r="AU335" s="387">
        <f>IF(AV331=0,0,IF(AV331&gt;=7,1,IF(AV331&lt;=-7,-1,0)))</f>
        <v>0</v>
      </c>
      <c r="AV335" s="389" t="s">
        <v>42</v>
      </c>
      <c r="AW335" s="388">
        <f>IF(AV331=0,0,IF(AV331&gt;=1,1,IF(AV331&lt;=-1,-1,0)))</f>
        <v>0</v>
      </c>
      <c r="AX335" s="356"/>
      <c r="AY335" s="431" t="s">
        <v>43</v>
      </c>
      <c r="AZ335" s="359">
        <f t="shared" si="216"/>
        <v>0</v>
      </c>
      <c r="BA335" s="360" t="s">
        <v>42</v>
      </c>
      <c r="BB335" s="430">
        <f>IF($AG$2&gt;0,"限度超過",AR335+AW335)</f>
        <v>0</v>
      </c>
      <c r="BC335" s="356"/>
      <c r="BD335" s="448" t="s">
        <v>43</v>
      </c>
      <c r="BE335" s="81">
        <f t="shared" si="217"/>
        <v>0</v>
      </c>
      <c r="BF335" s="82" t="s">
        <v>42</v>
      </c>
      <c r="BG335" s="29">
        <f>BG325</f>
        <v>0</v>
      </c>
      <c r="BH335" s="12"/>
      <c r="BI335" s="30" t="s">
        <v>43</v>
      </c>
      <c r="BJ335" s="29">
        <f t="shared" si="218"/>
        <v>0</v>
      </c>
      <c r="BK335" s="30" t="s">
        <v>42</v>
      </c>
      <c r="BL335" s="29">
        <f>IF($A$353=$L$353,"限度超過",IF(BG335=0,0,BG335/$S$271))</f>
        <v>0</v>
      </c>
      <c r="BM335" s="12"/>
      <c r="BN335" s="30" t="s">
        <v>43</v>
      </c>
      <c r="BO335" s="29">
        <f t="shared" si="219"/>
        <v>0</v>
      </c>
      <c r="BP335" s="30" t="s">
        <v>42</v>
      </c>
      <c r="BQ335" s="457">
        <f>IF($A$353=$L$353,"限度超過",IF($S$271&lt;=5,0,BL335))</f>
        <v>0</v>
      </c>
      <c r="BR335" s="12"/>
      <c r="BS335" s="12"/>
      <c r="BT335" s="12"/>
      <c r="BU335" s="12"/>
      <c r="BV335" s="12"/>
      <c r="BW335" s="12"/>
      <c r="BX335" s="32" t="s">
        <v>26</v>
      </c>
      <c r="BY335" s="26">
        <f>H326</f>
        <v>0</v>
      </c>
      <c r="BZ335" s="99">
        <f t="shared" si="220"/>
        <v>0</v>
      </c>
      <c r="CA335" s="99">
        <f t="shared" si="220"/>
        <v>0</v>
      </c>
      <c r="CB335" s="99">
        <f t="shared" si="220"/>
        <v>0</v>
      </c>
      <c r="CC335" s="4"/>
      <c r="CD335" s="4"/>
      <c r="CE335" s="4"/>
      <c r="CF335" s="4"/>
      <c r="CG335" s="4"/>
      <c r="CH335" s="4"/>
      <c r="CI335" s="13"/>
    </row>
    <row r="336" spans="1:87" ht="18.75" customHeight="1">
      <c r="A336" s="1378" t="s">
        <v>10</v>
      </c>
      <c r="B336" s="12"/>
      <c r="C336" s="12"/>
      <c r="D336" s="1379" t="s">
        <v>7</v>
      </c>
      <c r="E336" s="1389">
        <f>IF(H336&gt;0,$CE$274,0)</f>
        <v>0</v>
      </c>
      <c r="F336" s="97"/>
      <c r="G336" s="1010" t="s">
        <v>59</v>
      </c>
      <c r="H336" s="1390">
        <f>IF(B331=0,0,SUBTOTAL(3,B331))</f>
        <v>0</v>
      </c>
      <c r="I336" s="1385" t="s">
        <v>22</v>
      </c>
      <c r="J336" s="1010" t="s">
        <v>59</v>
      </c>
      <c r="K336" s="51">
        <f>IF(H336&gt;0,K333,0)</f>
        <v>0</v>
      </c>
      <c r="L336" s="52" t="s">
        <v>5</v>
      </c>
      <c r="M336" s="1527" t="s">
        <v>122</v>
      </c>
      <c r="N336" s="1548">
        <f>IF(O336=0,0,"―")</f>
        <v>0</v>
      </c>
      <c r="O336" s="1525">
        <f>IF(H336&lt;=0,0,IF($D$271=0,0,IF($D$271=7,BZ346,IF($D$271=5,CA346,IF($D$271=2,CB346,"間違い!")))))</f>
        <v>0</v>
      </c>
      <c r="P336" s="1526"/>
      <c r="Q336" s="1392" t="s">
        <v>130</v>
      </c>
      <c r="R336" s="1391">
        <f>IF(H336&gt;0,IF(K333=0,0,ROUNDDOWN(((E336*H336)*K336/K337)-O336,0)),0)</f>
        <v>0</v>
      </c>
      <c r="S336" s="1524" t="s">
        <v>6</v>
      </c>
      <c r="T336" s="1537" t="s">
        <v>32</v>
      </c>
      <c r="U336" s="1522">
        <f>IF($L$353=$A$353,"限度超過",U334)</f>
        <v>0</v>
      </c>
      <c r="V336" s="1512" t="s">
        <v>6</v>
      </c>
      <c r="W336" s="30" t="s">
        <v>37</v>
      </c>
      <c r="X336" s="29">
        <f t="shared" si="215"/>
        <v>0</v>
      </c>
      <c r="Y336" s="1313" t="s">
        <v>44</v>
      </c>
      <c r="Z336" s="1420">
        <f>IF($AH$13&gt;0,0,BB336)</f>
        <v>0</v>
      </c>
      <c r="AC336" s="489"/>
      <c r="AD336" s="4"/>
      <c r="AE336" s="497" t="str">
        <f>IF($AG$2&gt;0,"限度超過",IF(X332+X333+X334+X335+X336+X337+Z332+Z333+Z334+Z335=Z336,"OK","エラー"))</f>
        <v>OK</v>
      </c>
      <c r="AF336" s="1521">
        <f>IF(H336&gt;0,IF(K333=0,0,ROUNDDOWN((E336*H336)-O336,0)),0)</f>
        <v>0</v>
      </c>
      <c r="AG336" s="4"/>
      <c r="AH336" s="4"/>
      <c r="AI336" s="174"/>
      <c r="AJ336" s="174"/>
      <c r="AK336" s="174"/>
      <c r="AL336" s="174"/>
      <c r="AM336" s="174"/>
      <c r="AN336" s="386"/>
      <c r="AO336" s="361" t="s">
        <v>37</v>
      </c>
      <c r="AP336" s="387">
        <f>ROUND(AP70*AQ331,0)</f>
        <v>0</v>
      </c>
      <c r="AQ336" s="362" t="s">
        <v>44</v>
      </c>
      <c r="AR336" s="363">
        <f>AP332+AP333+AP334+AP335+AP336+AP337+AR332+AR333+AR334+AR335</f>
        <v>0</v>
      </c>
      <c r="AS336" s="386"/>
      <c r="AT336" s="361" t="s">
        <v>37</v>
      </c>
      <c r="AU336" s="387">
        <f>IF(AV331=0,0,IF(AV331&gt;=6,1,IF(AV331&lt;=-6,-1,0)))</f>
        <v>0</v>
      </c>
      <c r="AV336" s="391" t="s">
        <v>44</v>
      </c>
      <c r="AW336" s="392">
        <f>AU332+AU333+AU334+AU335+AU336+AU337+AW332+AW333+AW334+AW335</f>
        <v>0</v>
      </c>
      <c r="AX336" s="356"/>
      <c r="AY336" s="431" t="s">
        <v>37</v>
      </c>
      <c r="AZ336" s="359">
        <f t="shared" si="216"/>
        <v>0</v>
      </c>
      <c r="BA336" s="362" t="s">
        <v>44</v>
      </c>
      <c r="BB336" s="432">
        <f>IF($AG$2&gt;0,"限度超過",AZ332+AZ333+AZ334+AZ335+AZ336+AZ337+BB332+BB333+BB334+BB335)</f>
        <v>0</v>
      </c>
      <c r="BC336" s="356"/>
      <c r="BD336" s="448" t="s">
        <v>37</v>
      </c>
      <c r="BE336" s="81">
        <f t="shared" si="217"/>
        <v>0</v>
      </c>
      <c r="BF336" s="440" t="s">
        <v>44</v>
      </c>
      <c r="BG336" s="29">
        <f>IF($A$353=$L$353,"限度超過",BE332+BE333+BE334+BE335+BE336+BE337+BG332+BG333+BG334+BG335)</f>
        <v>0</v>
      </c>
      <c r="BH336" s="12"/>
      <c r="BI336" s="30" t="s">
        <v>37</v>
      </c>
      <c r="BJ336" s="29">
        <f t="shared" si="218"/>
        <v>0</v>
      </c>
      <c r="BK336" s="98" t="s">
        <v>44</v>
      </c>
      <c r="BL336" s="29">
        <f>IF($A$353=$L$353,"限度超過",BJ332+BJ333+BJ334+BJ335+BJ336+BJ337+BL332+BL333+BL334+BL335)</f>
        <v>0</v>
      </c>
      <c r="BM336" s="12"/>
      <c r="BN336" s="30" t="s">
        <v>37</v>
      </c>
      <c r="BO336" s="29">
        <f t="shared" si="219"/>
        <v>0</v>
      </c>
      <c r="BP336" s="98" t="s">
        <v>44</v>
      </c>
      <c r="BQ336" s="457">
        <f>IF($A$353=$L$353,"限度超過",BO332+BO333+BO334+BO335+BO336+BO337+BQ332+BQ333+BQ334+BQ335)</f>
        <v>0</v>
      </c>
      <c r="BR336" s="12"/>
      <c r="BS336" s="12"/>
      <c r="BT336" s="12"/>
      <c r="BU336" s="12"/>
      <c r="BV336" s="12"/>
      <c r="BW336" s="12"/>
      <c r="BX336" s="67" t="s">
        <v>27</v>
      </c>
      <c r="BY336" s="45">
        <f>IF(BY335&gt;0,ROUNDDOWN(BY332*BY335*BY333/BY334,0),0)</f>
        <v>0</v>
      </c>
      <c r="BZ336" s="45">
        <f>IF(BZ335&gt;0,ROUNDDOWN(BZ332*BZ335*BZ333/BZ334,0),0)</f>
        <v>0</v>
      </c>
      <c r="CA336" s="45">
        <f>IF(CA335&gt;0,ROUNDDOWN(CA332*CA335*CA333/CA334,0),0)</f>
        <v>0</v>
      </c>
      <c r="CB336" s="45">
        <f>IF(CB335&gt;0,ROUNDDOWN(CB332*CB335*CB333/CB334,0),0)</f>
        <v>0</v>
      </c>
      <c r="CC336" s="4"/>
      <c r="CD336" s="4"/>
      <c r="CE336" s="4"/>
      <c r="CF336" s="4"/>
      <c r="CG336" s="4"/>
      <c r="CH336" s="4"/>
      <c r="CI336" s="13"/>
    </row>
    <row r="337" spans="1:87" ht="18.75" customHeight="1">
      <c r="A337" s="1378"/>
      <c r="B337" s="12"/>
      <c r="C337" s="12"/>
      <c r="D337" s="1379"/>
      <c r="E337" s="1389"/>
      <c r="F337" s="12"/>
      <c r="G337" s="1010"/>
      <c r="H337" s="1390"/>
      <c r="I337" s="1385"/>
      <c r="J337" s="1010"/>
      <c r="K337" s="180">
        <f>IF(H336&gt;0,K334,0)</f>
        <v>0</v>
      </c>
      <c r="L337" s="12" t="s">
        <v>5</v>
      </c>
      <c r="M337" s="1527"/>
      <c r="N337" s="1548"/>
      <c r="O337" s="1526"/>
      <c r="P337" s="1526"/>
      <c r="Q337" s="1392"/>
      <c r="R337" s="1391"/>
      <c r="S337" s="1524"/>
      <c r="T337" s="1537"/>
      <c r="U337" s="1522"/>
      <c r="V337" s="1512"/>
      <c r="W337" s="30" t="s">
        <v>38</v>
      </c>
      <c r="X337" s="29">
        <f t="shared" si="215"/>
        <v>0</v>
      </c>
      <c r="Y337" s="1422"/>
      <c r="Z337" s="1421"/>
      <c r="AC337" s="489"/>
      <c r="AD337" s="4"/>
      <c r="AE337" s="74"/>
      <c r="AF337" s="1416"/>
      <c r="AG337" s="4"/>
      <c r="AH337" s="4"/>
      <c r="AI337" s="174"/>
      <c r="AJ337" s="174"/>
      <c r="AK337" s="174"/>
      <c r="AL337" s="174"/>
      <c r="AM337" s="174"/>
      <c r="AN337" s="386"/>
      <c r="AO337" s="361" t="s">
        <v>38</v>
      </c>
      <c r="AP337" s="387">
        <f>ROUND(AP71*AQ331,0)</f>
        <v>0</v>
      </c>
      <c r="AQ337" s="360" t="s">
        <v>75</v>
      </c>
      <c r="AR337" s="393">
        <f>U336</f>
        <v>0</v>
      </c>
      <c r="AS337" s="386"/>
      <c r="AT337" s="361" t="s">
        <v>38</v>
      </c>
      <c r="AU337" s="387">
        <f>IF(AV331=0,0,IF(AV331&gt;=5,1,IF(AV331&lt;=-5,-1,0)))</f>
        <v>0</v>
      </c>
      <c r="AV337" s="389"/>
      <c r="AW337" s="394" t="str">
        <f>IF(AU332+AU333+AU334+AU335+AU336+AU337+AW332+AW333+AW334+AW335=AV331,"計算ＯＫ","エラー発生")</f>
        <v>計算ＯＫ</v>
      </c>
      <c r="AX337" s="356"/>
      <c r="AY337" s="431" t="s">
        <v>38</v>
      </c>
      <c r="AZ337" s="359">
        <f t="shared" si="216"/>
        <v>0</v>
      </c>
      <c r="BA337" s="360"/>
      <c r="BB337" s="433">
        <f>IF($AG$2&gt;0,"限度超過",U336)</f>
        <v>0</v>
      </c>
      <c r="BC337" s="356"/>
      <c r="BD337" s="448" t="s">
        <v>38</v>
      </c>
      <c r="BE337" s="81">
        <f t="shared" si="217"/>
        <v>0</v>
      </c>
      <c r="BF337" s="82"/>
      <c r="BG337" s="100"/>
      <c r="BH337" s="12"/>
      <c r="BI337" s="30" t="s">
        <v>38</v>
      </c>
      <c r="BJ337" s="29">
        <f t="shared" si="218"/>
        <v>0</v>
      </c>
      <c r="BK337" s="30"/>
      <c r="BL337" s="100"/>
      <c r="BM337" s="12"/>
      <c r="BN337" s="30" t="s">
        <v>38</v>
      </c>
      <c r="BO337" s="29">
        <f t="shared" si="219"/>
        <v>0</v>
      </c>
      <c r="BP337" s="30"/>
      <c r="BQ337" s="458"/>
      <c r="BR337" s="12"/>
      <c r="BS337" s="12"/>
      <c r="BT337" s="12"/>
      <c r="BU337" s="12"/>
      <c r="BV337" s="12"/>
      <c r="BW337" s="12"/>
      <c r="BX337" s="4"/>
      <c r="BY337" s="4"/>
      <c r="BZ337" s="4"/>
      <c r="CA337" s="4"/>
      <c r="CB337" s="4"/>
      <c r="CC337" s="4"/>
      <c r="CD337" s="4"/>
      <c r="CE337" s="4"/>
      <c r="CF337" s="4"/>
      <c r="CG337" s="4"/>
      <c r="CH337" s="4"/>
      <c r="CI337" s="13"/>
    </row>
    <row r="338" spans="1:87" ht="18.75" customHeight="1">
      <c r="A338" s="200"/>
      <c r="B338" s="75" t="s">
        <v>118</v>
      </c>
      <c r="C338" s="12"/>
      <c r="D338" s="160"/>
      <c r="E338" s="161"/>
      <c r="F338" s="12"/>
      <c r="G338" s="50"/>
      <c r="H338" s="162"/>
      <c r="I338" s="159"/>
      <c r="J338" s="50"/>
      <c r="K338" s="180"/>
      <c r="L338" s="12"/>
      <c r="M338" s="86"/>
      <c r="N338" s="86"/>
      <c r="O338" s="181"/>
      <c r="P338" s="181"/>
      <c r="Q338" s="156"/>
      <c r="R338" s="157"/>
      <c r="S338" s="49"/>
      <c r="T338" s="50"/>
      <c r="U338" s="182"/>
      <c r="V338" s="50"/>
      <c r="W338" s="4"/>
      <c r="X338" s="26"/>
      <c r="Y338" s="170"/>
      <c r="Z338" s="185"/>
      <c r="AC338" s="489"/>
      <c r="AD338" s="4"/>
      <c r="AE338" s="74"/>
      <c r="AF338" s="234"/>
      <c r="AG338" s="159"/>
      <c r="AH338" s="225"/>
      <c r="AI338" s="174"/>
      <c r="AJ338" s="174"/>
      <c r="AK338" s="174"/>
      <c r="AL338" s="174"/>
      <c r="AM338" s="174"/>
      <c r="AN338" s="386"/>
      <c r="AO338" s="364"/>
      <c r="AP338" s="395"/>
      <c r="AQ338" s="365"/>
      <c r="AR338" s="365"/>
      <c r="AS338" s="386"/>
      <c r="AT338" s="386"/>
      <c r="AU338" s="386"/>
      <c r="AV338" s="386"/>
      <c r="AW338" s="386"/>
      <c r="AX338" s="356"/>
      <c r="AY338" s="434"/>
      <c r="AZ338" s="467" t="str">
        <f>IF($AG$2&gt;0,"限度超過","－")</f>
        <v>－</v>
      </c>
      <c r="BA338" s="365"/>
      <c r="BB338" s="466" t="str">
        <f>IF(BB336=BB337,"OK","エラー")</f>
        <v>OK</v>
      </c>
      <c r="BC338" s="356"/>
      <c r="BD338" s="449"/>
      <c r="BF338" s="4" t="s">
        <v>257</v>
      </c>
      <c r="BH338" s="12"/>
      <c r="BM338" s="12"/>
      <c r="BQ338" s="459"/>
      <c r="BR338" s="12"/>
      <c r="BS338" s="12"/>
      <c r="BT338" s="12"/>
      <c r="BU338" s="12"/>
      <c r="BV338" s="12"/>
      <c r="BW338" s="12"/>
      <c r="BX338" s="4"/>
      <c r="BY338" s="4"/>
      <c r="BZ338" s="4"/>
      <c r="CA338" s="4"/>
      <c r="CB338" s="4"/>
      <c r="CC338" s="4"/>
      <c r="CD338" s="4"/>
      <c r="CE338" s="4"/>
      <c r="CF338" s="4"/>
      <c r="CG338" s="4"/>
      <c r="CH338" s="4"/>
      <c r="CI338" s="13"/>
    </row>
    <row r="339" spans="1:87" ht="18.75" customHeight="1">
      <c r="A339" s="58" t="s">
        <v>1</v>
      </c>
      <c r="B339" s="52"/>
      <c r="C339" s="187">
        <f>IF(H336&gt;0,$X$279,0)</f>
        <v>0</v>
      </c>
      <c r="D339" s="201" t="s">
        <v>6</v>
      </c>
      <c r="E339" s="60" t="s">
        <v>131</v>
      </c>
      <c r="F339" s="1377">
        <f>K333</f>
        <v>0</v>
      </c>
      <c r="G339" s="1377"/>
      <c r="H339" s="214" t="s">
        <v>5</v>
      </c>
      <c r="I339" s="1388" t="s">
        <v>14</v>
      </c>
      <c r="J339" s="1388"/>
      <c r="K339" s="1377">
        <f>C339*F339</f>
        <v>0</v>
      </c>
      <c r="L339" s="1377"/>
      <c r="M339" s="202" t="s">
        <v>6</v>
      </c>
      <c r="N339" s="202"/>
      <c r="O339" s="203"/>
      <c r="P339" s="203"/>
      <c r="Q339" s="63"/>
      <c r="R339" s="204"/>
      <c r="S339" s="59"/>
      <c r="T339" s="27"/>
      <c r="U339" s="205"/>
      <c r="V339" s="27"/>
      <c r="W339" s="186"/>
      <c r="X339" s="187"/>
      <c r="Y339" s="206"/>
      <c r="Z339" s="163"/>
      <c r="AC339" s="489"/>
      <c r="AD339" s="4"/>
      <c r="AE339" s="74"/>
      <c r="AF339" s="235"/>
      <c r="AG339" s="4"/>
      <c r="AH339" s="4"/>
      <c r="AI339" s="174"/>
      <c r="AJ339" s="174"/>
      <c r="AK339" s="174"/>
      <c r="AL339" s="174"/>
      <c r="AM339" s="174"/>
      <c r="AN339" s="386"/>
      <c r="AO339" s="383" t="s">
        <v>239</v>
      </c>
      <c r="AP339" s="1400" t="s">
        <v>221</v>
      </c>
      <c r="AQ339" s="1400"/>
      <c r="AR339" s="1400"/>
      <c r="AS339" s="386"/>
      <c r="AT339" s="1452" t="s">
        <v>239</v>
      </c>
      <c r="AU339" s="1452"/>
      <c r="AV339" s="384"/>
      <c r="AW339" s="384"/>
      <c r="AX339" s="356"/>
      <c r="AY339" s="435" t="s">
        <v>239</v>
      </c>
      <c r="AZ339" s="385"/>
      <c r="BA339" s="365"/>
      <c r="BB339" s="436"/>
      <c r="BC339" s="356"/>
      <c r="BD339" s="460" t="s">
        <v>239</v>
      </c>
      <c r="BE339" s="400"/>
      <c r="BF339" s="4" t="s">
        <v>258</v>
      </c>
      <c r="BH339" s="12"/>
      <c r="BI339" s="400" t="s">
        <v>239</v>
      </c>
      <c r="BJ339" s="400"/>
      <c r="BM339" s="12"/>
      <c r="BN339" s="400" t="s">
        <v>239</v>
      </c>
      <c r="BO339" s="400"/>
      <c r="BQ339" s="459"/>
      <c r="BR339" s="12"/>
      <c r="BS339" s="12"/>
      <c r="BT339" s="12"/>
      <c r="BU339" s="12"/>
      <c r="BV339" s="12"/>
      <c r="BW339" s="12"/>
      <c r="BX339" s="4"/>
      <c r="BY339" s="4"/>
      <c r="BZ339" s="4"/>
      <c r="CA339" s="4"/>
      <c r="CB339" s="4"/>
      <c r="CC339" s="4"/>
      <c r="CD339" s="4"/>
      <c r="CE339" s="4"/>
      <c r="CF339" s="4"/>
      <c r="CG339" s="4"/>
      <c r="CH339" s="4"/>
      <c r="CI339" s="13"/>
    </row>
    <row r="340" spans="1:87" ht="18.75" customHeight="1">
      <c r="D340" s="101"/>
      <c r="E340" s="70"/>
      <c r="G340" s="9"/>
      <c r="H340" s="102"/>
      <c r="I340" s="5"/>
      <c r="J340" s="9"/>
      <c r="K340" s="18"/>
      <c r="M340" s="103"/>
      <c r="P340" s="103"/>
      <c r="Q340" s="70"/>
      <c r="R340" s="104"/>
      <c r="S340" s="68"/>
      <c r="T340" s="68"/>
      <c r="U340" s="68"/>
      <c r="V340" s="18"/>
      <c r="AC340" s="489"/>
      <c r="AD340" s="4"/>
      <c r="AE340" s="74"/>
      <c r="AF340" s="231"/>
      <c r="AG340" s="16"/>
      <c r="AH340" s="16"/>
      <c r="AI340" s="174"/>
      <c r="AJ340" s="174"/>
      <c r="AK340" s="174"/>
      <c r="AL340" s="174"/>
      <c r="AM340" s="174"/>
      <c r="AN340" s="386"/>
      <c r="AO340" s="368" t="s">
        <v>217</v>
      </c>
      <c r="AP340" s="357"/>
      <c r="AQ340" s="396"/>
      <c r="AR340" s="396"/>
      <c r="AS340" s="386"/>
      <c r="AT340" s="1454" t="s">
        <v>218</v>
      </c>
      <c r="AU340" s="1454"/>
      <c r="AV340" s="1454"/>
      <c r="AW340" s="1454"/>
      <c r="AX340" s="356"/>
      <c r="AY340" s="428" t="s">
        <v>224</v>
      </c>
      <c r="AZ340" s="1409" t="s">
        <v>223</v>
      </c>
      <c r="BA340" s="1409"/>
      <c r="BB340" s="1410"/>
      <c r="BC340" s="356"/>
      <c r="BD340" s="1426" t="s">
        <v>261</v>
      </c>
      <c r="BE340" s="1427"/>
      <c r="BF340" s="1427"/>
      <c r="BG340" s="1427"/>
      <c r="BH340" s="12"/>
      <c r="BI340" s="437" t="s">
        <v>262</v>
      </c>
      <c r="BJ340" s="1438" t="s">
        <v>260</v>
      </c>
      <c r="BK340" s="1438"/>
      <c r="BL340" s="1438"/>
      <c r="BM340" s="12"/>
      <c r="BN340" s="12"/>
      <c r="BO340" s="143" t="s">
        <v>263</v>
      </c>
      <c r="BP340" s="12" t="s">
        <v>88</v>
      </c>
      <c r="BQ340" s="446"/>
      <c r="BR340" s="12"/>
      <c r="BS340" s="12"/>
      <c r="BT340" s="12"/>
      <c r="BU340" s="12"/>
      <c r="BV340" s="12"/>
      <c r="BW340" s="12"/>
      <c r="BX340" s="4"/>
      <c r="BY340" s="4"/>
      <c r="BZ340" s="4"/>
      <c r="CA340" s="4"/>
      <c r="CB340" s="4"/>
      <c r="CC340" s="4"/>
      <c r="CD340" s="4"/>
      <c r="CE340" s="4"/>
      <c r="CF340" s="4"/>
      <c r="CG340" s="4"/>
      <c r="CH340" s="4"/>
      <c r="CI340" s="13"/>
    </row>
    <row r="341" spans="1:87" ht="18.75" customHeight="1" thickBot="1">
      <c r="A341" s="194" t="s">
        <v>49</v>
      </c>
      <c r="B341" s="1396">
        <f>IF(I341=1,B75,0)</f>
        <v>0</v>
      </c>
      <c r="C341" s="1396"/>
      <c r="D341" s="1396"/>
      <c r="E341" s="196" t="s">
        <v>11</v>
      </c>
      <c r="F341" s="1398" t="s">
        <v>57</v>
      </c>
      <c r="G341" s="1398"/>
      <c r="H341" s="1398"/>
      <c r="I341" s="1380">
        <f>IF(I75=1,1,0)</f>
        <v>0</v>
      </c>
      <c r="J341" s="1381"/>
      <c r="K341" s="1515">
        <f>IF($AG$2&gt;0,0,IF((X343+X344+X345+X346+X347+Z342+Z343+Z344+Z345)&lt;0,"＊＊エラー介護該当者は①から入力＊＊",0))</f>
        <v>0</v>
      </c>
      <c r="L341" s="1516"/>
      <c r="M341" s="1516"/>
      <c r="N341" s="1516"/>
      <c r="O341" s="1516"/>
      <c r="P341" s="1516"/>
      <c r="Q341" s="1516"/>
      <c r="R341" s="1516"/>
      <c r="S341" s="1517"/>
      <c r="T341" s="195" t="s">
        <v>47</v>
      </c>
      <c r="U341" s="1417">
        <f>IF(U346&gt;0,"介護分",0)</f>
        <v>0</v>
      </c>
      <c r="V341" s="1418"/>
      <c r="W341" s="1419" t="s">
        <v>46</v>
      </c>
      <c r="X341" s="1278"/>
      <c r="Y341" s="1278"/>
      <c r="Z341" s="1279"/>
      <c r="AC341" s="489"/>
      <c r="AD341" s="4"/>
      <c r="AE341" s="74"/>
      <c r="AF341" s="236" t="s">
        <v>117</v>
      </c>
      <c r="AG341" s="26"/>
      <c r="AH341" s="274">
        <f>IF(K343=0,0,IF(K343&lt;12,1,0))</f>
        <v>0</v>
      </c>
      <c r="AI341" s="174"/>
      <c r="AJ341" s="174"/>
      <c r="AK341" s="174"/>
      <c r="AL341" s="174"/>
      <c r="AM341" s="174"/>
      <c r="AN341" s="397" t="s">
        <v>150</v>
      </c>
      <c r="AO341" s="1439" t="s">
        <v>46</v>
      </c>
      <c r="AP341" s="1440"/>
      <c r="AQ341" s="1441">
        <f>IF(AR80=0,0,ROUNDDOWN(AR347/AR80,8))</f>
        <v>0</v>
      </c>
      <c r="AR341" s="1442"/>
      <c r="AS341" s="386"/>
      <c r="AT341" s="1439" t="s">
        <v>213</v>
      </c>
      <c r="AU341" s="1440"/>
      <c r="AV341" s="1464">
        <f>IF($AG$272&gt;0,0,AR347-AR346)</f>
        <v>0</v>
      </c>
      <c r="AW341" s="1465"/>
      <c r="AX341" s="356"/>
      <c r="AY341" s="1466" t="s">
        <v>46</v>
      </c>
      <c r="AZ341" s="1440"/>
      <c r="BA341" s="1444">
        <f>IF(R343+R346=0,0,IF(K344&gt;K343,"期割がアンマッチ使用禁止↓",0))</f>
        <v>0</v>
      </c>
      <c r="BB341" s="1445"/>
      <c r="BC341" s="356"/>
      <c r="BD341" s="1435" t="s">
        <v>46</v>
      </c>
      <c r="BE341" s="1434"/>
      <c r="BF341" s="1431"/>
      <c r="BG341" s="1433"/>
      <c r="BH341" s="12"/>
      <c r="BI341" s="1253" t="s">
        <v>46</v>
      </c>
      <c r="BJ341" s="1434"/>
      <c r="BK341" s="1431"/>
      <c r="BL341" s="1433"/>
      <c r="BM341" s="12"/>
      <c r="BN341" s="1253" t="s">
        <v>46</v>
      </c>
      <c r="BO341" s="1434"/>
      <c r="BP341" s="1431"/>
      <c r="BQ341" s="1432"/>
      <c r="BR341" s="12"/>
      <c r="BS341" s="12"/>
      <c r="BT341" s="122"/>
      <c r="BU341" s="12"/>
      <c r="BV341" s="12"/>
      <c r="BW341" s="12"/>
      <c r="BX341" s="32"/>
      <c r="BY341" s="33" t="str">
        <f>BY331</f>
        <v>料率</v>
      </c>
      <c r="BZ341" s="33">
        <f>BZ331</f>
        <v>7</v>
      </c>
      <c r="CA341" s="33">
        <f>CA331</f>
        <v>5</v>
      </c>
      <c r="CB341" s="33">
        <f>CB331</f>
        <v>2</v>
      </c>
      <c r="CC341" s="4"/>
      <c r="CD341" s="4"/>
      <c r="CE341" s="4"/>
      <c r="CF341" s="4"/>
      <c r="CG341" s="4"/>
      <c r="CH341" s="4"/>
      <c r="CI341" s="13"/>
    </row>
    <row r="342" spans="1:87" ht="18.75" customHeight="1">
      <c r="A342" s="165"/>
      <c r="B342" s="12"/>
      <c r="C342" s="75" t="s">
        <v>33</v>
      </c>
      <c r="D342" s="12"/>
      <c r="E342" s="12"/>
      <c r="F342" s="1394" t="s">
        <v>433</v>
      </c>
      <c r="G342" s="1394"/>
      <c r="H342" s="1394"/>
      <c r="I342" s="93"/>
      <c r="J342" s="12"/>
      <c r="K342" s="76" t="s">
        <v>9</v>
      </c>
      <c r="L342" s="12"/>
      <c r="M342" s="1549">
        <f>IF(R343+R346=0, 0, IF(K344=K343,0,IF(K344&gt;K343,"年度途中で資格変動有？保険料内訳のみ使用可能",0)))</f>
        <v>0</v>
      </c>
      <c r="N342" s="1549"/>
      <c r="O342" s="1549"/>
      <c r="P342" s="1549"/>
      <c r="Q342" s="1549"/>
      <c r="R342" s="1549"/>
      <c r="S342" s="1550"/>
      <c r="T342" s="72" t="s">
        <v>30</v>
      </c>
      <c r="U342" s="105">
        <f>R343+R346</f>
        <v>0</v>
      </c>
      <c r="V342" s="88" t="s">
        <v>6</v>
      </c>
      <c r="W342" s="80" t="s">
        <v>34</v>
      </c>
      <c r="X342" s="29">
        <f t="shared" ref="X342:X347" si="221">IF($AH$13&gt;0,0,AZ342)</f>
        <v>0</v>
      </c>
      <c r="Y342" s="80" t="s">
        <v>39</v>
      </c>
      <c r="Z342" s="31">
        <f>IF($AH$13&gt;0,0,BB342)</f>
        <v>0</v>
      </c>
      <c r="AC342" s="489"/>
      <c r="AD342" s="4"/>
      <c r="AE342" s="74"/>
      <c r="AF342" s="217">
        <f>AF343+AF346+AF349</f>
        <v>0</v>
      </c>
      <c r="AG342" s="26"/>
      <c r="AH342" s="26"/>
      <c r="AI342" s="174"/>
      <c r="AJ342" s="174"/>
      <c r="AK342" s="174"/>
      <c r="AL342" s="174"/>
      <c r="AM342" s="174"/>
      <c r="AN342" s="386"/>
      <c r="AO342" s="358" t="s">
        <v>34</v>
      </c>
      <c r="AP342" s="387">
        <f>ROUND(AP76*AQ341,0)</f>
        <v>0</v>
      </c>
      <c r="AQ342" s="360" t="s">
        <v>39</v>
      </c>
      <c r="AR342" s="388">
        <f>ROUND(AR76*AQ341,0)</f>
        <v>0</v>
      </c>
      <c r="AS342" s="386"/>
      <c r="AT342" s="361" t="s">
        <v>34</v>
      </c>
      <c r="AU342" s="387">
        <f>IF(AV341=0,0,IF(AV341&gt;=10,1,IF(AV341&lt;=-10,-1,0)))</f>
        <v>0</v>
      </c>
      <c r="AV342" s="389" t="s">
        <v>39</v>
      </c>
      <c r="AW342" s="388">
        <f>IF(AV341=0,0,IF(AV341&gt;=4,1,IF(AV341&lt;=-4,-1,0)))</f>
        <v>0</v>
      </c>
      <c r="AX342" s="356"/>
      <c r="AY342" s="429" t="s">
        <v>34</v>
      </c>
      <c r="AZ342" s="359">
        <f t="shared" ref="AZ342:AZ347" si="222">IF($AG$2&gt;0,"限度超過",AP342+AU342)</f>
        <v>0</v>
      </c>
      <c r="BA342" s="360" t="s">
        <v>39</v>
      </c>
      <c r="BB342" s="430">
        <f>IF($AG$2&gt;0,"限度超過",AR342+AW342)</f>
        <v>0</v>
      </c>
      <c r="BC342" s="356"/>
      <c r="BD342" s="448" t="s">
        <v>34</v>
      </c>
      <c r="BE342" s="81">
        <f t="shared" ref="BE342:BE347" si="223">BE332</f>
        <v>0</v>
      </c>
      <c r="BF342" s="82" t="s">
        <v>39</v>
      </c>
      <c r="BG342" s="29">
        <f>BG332</f>
        <v>0</v>
      </c>
      <c r="BH342" s="12"/>
      <c r="BI342" s="80" t="s">
        <v>34</v>
      </c>
      <c r="BJ342" s="29">
        <f t="shared" ref="BJ342:BJ347" si="224">IF($A$353=$L$353,"限度超過",IF(BE342=0,0,BE342/$S$271))</f>
        <v>0</v>
      </c>
      <c r="BK342" s="80" t="s">
        <v>39</v>
      </c>
      <c r="BL342" s="29">
        <f>IF($A$353=$L$353,"限度超過",IF(BG342=0,0,BG342/$S$271))</f>
        <v>0</v>
      </c>
      <c r="BM342" s="12"/>
      <c r="BN342" s="30" t="s">
        <v>34</v>
      </c>
      <c r="BO342" s="29">
        <f t="shared" ref="BO342:BO347" si="225">IF($A$353=$L$353,"限度超過",IF($S$271&lt;=6,0,BJ342))</f>
        <v>0</v>
      </c>
      <c r="BP342" s="80" t="s">
        <v>39</v>
      </c>
      <c r="BQ342" s="457">
        <f>IF($A$353=$L$353,"限度超過",IF($S$271&lt;=6,0,BL342))</f>
        <v>0</v>
      </c>
      <c r="BR342" s="12"/>
      <c r="BS342" s="12"/>
      <c r="BT342" s="12"/>
      <c r="BU342" s="12"/>
      <c r="BV342" s="12"/>
      <c r="BW342" s="12"/>
      <c r="BX342" s="32" t="s">
        <v>17</v>
      </c>
      <c r="BY342" s="44">
        <v>0</v>
      </c>
      <c r="BZ342" s="45">
        <f>$CF$274</f>
        <v>5440</v>
      </c>
      <c r="CA342" s="45">
        <f>$CG$274</f>
        <v>3880</v>
      </c>
      <c r="CB342" s="45">
        <f>$CH$274</f>
        <v>1560</v>
      </c>
      <c r="CC342" s="4"/>
      <c r="CD342" s="4"/>
      <c r="CE342" s="4"/>
      <c r="CF342" s="4"/>
      <c r="CG342" s="4"/>
      <c r="CH342" s="4"/>
      <c r="CI342" s="13"/>
    </row>
    <row r="343" spans="1:87" ht="18.75" customHeight="1">
      <c r="A343" s="1378" t="s">
        <v>0</v>
      </c>
      <c r="B343" s="1556" t="s">
        <v>129</v>
      </c>
      <c r="C343" s="1382">
        <f>IF(K343&gt;0,C77,0)</f>
        <v>0</v>
      </c>
      <c r="D343" s="1010" t="s">
        <v>58</v>
      </c>
      <c r="E343" s="1389">
        <f>IF(H346&gt;0,$CE$277, 0)</f>
        <v>0</v>
      </c>
      <c r="F343" s="1395" t="s">
        <v>22</v>
      </c>
      <c r="G343" s="1010" t="s">
        <v>59</v>
      </c>
      <c r="H343" s="85">
        <f>IF(H346&gt;0,$CE$273,0)</f>
        <v>0</v>
      </c>
      <c r="I343" s="1385" t="s">
        <v>22</v>
      </c>
      <c r="J343" s="1010" t="s">
        <v>59</v>
      </c>
      <c r="K343" s="51">
        <f>入力画面!I44</f>
        <v>0</v>
      </c>
      <c r="L343" s="52" t="s">
        <v>5</v>
      </c>
      <c r="M343" s="1395"/>
      <c r="N343" s="1527"/>
      <c r="O343" s="86"/>
      <c r="P343" s="1392" t="s">
        <v>130</v>
      </c>
      <c r="Q343" s="1392"/>
      <c r="R343" s="1391">
        <f>ROUNDDOWN(IF(((C343-E343)*H343/H344)*K343/K344&lt;0,0,((C343-E343)*H343/H344)*K343/K344),0)</f>
        <v>0</v>
      </c>
      <c r="S343" s="1524" t="s">
        <v>6</v>
      </c>
      <c r="T343" s="72" t="s">
        <v>1</v>
      </c>
      <c r="U343" s="105">
        <f>IF(H346=0,0,K349)</f>
        <v>0</v>
      </c>
      <c r="V343" s="88" t="s">
        <v>6</v>
      </c>
      <c r="W343" s="30" t="s">
        <v>35</v>
      </c>
      <c r="X343" s="29">
        <f t="shared" si="221"/>
        <v>0</v>
      </c>
      <c r="Y343" s="30" t="s">
        <v>40</v>
      </c>
      <c r="Z343" s="31">
        <f>IF($AH$13&gt;0,0,BB343)</f>
        <v>0</v>
      </c>
      <c r="AC343" s="489"/>
      <c r="AD343" s="4"/>
      <c r="AE343" s="74"/>
      <c r="AF343" s="1416">
        <f>ROUNDDOWN(IF(((C343-E343)*H343/H344)&lt;0,0,((C343-E343)*H343/H344)),0)</f>
        <v>0</v>
      </c>
      <c r="AG343" s="26"/>
      <c r="AH343" s="26"/>
      <c r="AI343" s="174"/>
      <c r="AJ343" s="174"/>
      <c r="AK343" s="174"/>
      <c r="AL343" s="174"/>
      <c r="AM343" s="174"/>
      <c r="AN343" s="386"/>
      <c r="AO343" s="361" t="s">
        <v>35</v>
      </c>
      <c r="AP343" s="387">
        <f>ROUND(AP77*AQ341,0)</f>
        <v>0</v>
      </c>
      <c r="AQ343" s="360" t="s">
        <v>40</v>
      </c>
      <c r="AR343" s="388">
        <f>ROUND(AR77*AQ341,0)</f>
        <v>0</v>
      </c>
      <c r="AS343" s="386"/>
      <c r="AT343" s="361" t="s">
        <v>35</v>
      </c>
      <c r="AU343" s="387">
        <f>IF(AV341=0,0,IF(AV341&gt;=9,1,IF(AV341&lt;=-9,-1,0)))</f>
        <v>0</v>
      </c>
      <c r="AV343" s="389" t="s">
        <v>40</v>
      </c>
      <c r="AW343" s="388">
        <f>IF(AV341=0,0,IF(AV341&gt;=3,1,IF(AV341&lt;=-3,-1,0)))</f>
        <v>0</v>
      </c>
      <c r="AX343" s="356"/>
      <c r="AY343" s="431" t="s">
        <v>35</v>
      </c>
      <c r="AZ343" s="359">
        <f t="shared" si="222"/>
        <v>0</v>
      </c>
      <c r="BA343" s="360" t="s">
        <v>40</v>
      </c>
      <c r="BB343" s="430">
        <f>IF($AG$2&gt;0,"限度超過",AR343+AW343)</f>
        <v>0</v>
      </c>
      <c r="BC343" s="356"/>
      <c r="BD343" s="448" t="s">
        <v>35</v>
      </c>
      <c r="BE343" s="81">
        <f t="shared" si="223"/>
        <v>0</v>
      </c>
      <c r="BF343" s="82" t="s">
        <v>40</v>
      </c>
      <c r="BG343" s="29">
        <f>BG333</f>
        <v>0</v>
      </c>
      <c r="BH343" s="12"/>
      <c r="BI343" s="30" t="s">
        <v>35</v>
      </c>
      <c r="BJ343" s="29">
        <f t="shared" si="224"/>
        <v>0</v>
      </c>
      <c r="BK343" s="30" t="s">
        <v>40</v>
      </c>
      <c r="BL343" s="29">
        <f>IF($A$353=$L$353,"限度超過",IF(BG343=0,0,BG343/$S$271))</f>
        <v>0</v>
      </c>
      <c r="BM343" s="12"/>
      <c r="BN343" s="30" t="s">
        <v>35</v>
      </c>
      <c r="BO343" s="29">
        <f t="shared" si="225"/>
        <v>0</v>
      </c>
      <c r="BP343" s="30" t="s">
        <v>40</v>
      </c>
      <c r="BQ343" s="457">
        <f>IF($A$353=$L$353,"限度超過",IF($S$271&lt;=6,0,BL343))</f>
        <v>0</v>
      </c>
      <c r="BR343" s="12"/>
      <c r="BS343" s="12"/>
      <c r="BT343" s="12"/>
      <c r="BU343" s="12"/>
      <c r="BV343" s="12"/>
      <c r="BW343" s="12"/>
      <c r="BX343" s="32" t="s">
        <v>8</v>
      </c>
      <c r="BY343" s="45">
        <f>K336</f>
        <v>0</v>
      </c>
      <c r="BZ343" s="45">
        <f t="shared" ref="BZ343:CB345" si="226">BY343</f>
        <v>0</v>
      </c>
      <c r="CA343" s="45">
        <f t="shared" si="226"/>
        <v>0</v>
      </c>
      <c r="CB343" s="45">
        <f t="shared" si="226"/>
        <v>0</v>
      </c>
      <c r="CC343" s="4"/>
      <c r="CD343" s="4"/>
      <c r="CE343" s="4"/>
      <c r="CF343" s="4"/>
      <c r="CG343" s="4"/>
      <c r="CH343" s="4"/>
      <c r="CI343" s="13"/>
    </row>
    <row r="344" spans="1:87" ht="18.75" customHeight="1">
      <c r="A344" s="1378"/>
      <c r="B344" s="1556"/>
      <c r="C344" s="1382"/>
      <c r="D344" s="1010"/>
      <c r="E344" s="1389"/>
      <c r="F344" s="1395"/>
      <c r="G344" s="1010"/>
      <c r="H344" s="39">
        <v>100</v>
      </c>
      <c r="I344" s="1385"/>
      <c r="J344" s="1010"/>
      <c r="K344" s="55">
        <v>12</v>
      </c>
      <c r="L344" s="12" t="s">
        <v>5</v>
      </c>
      <c r="M344" s="1395"/>
      <c r="N344" s="1527"/>
      <c r="O344" s="86"/>
      <c r="P344" s="1392"/>
      <c r="Q344" s="1392"/>
      <c r="R344" s="1391"/>
      <c r="S344" s="1524"/>
      <c r="T344" s="72" t="s">
        <v>29</v>
      </c>
      <c r="U344" s="105">
        <f>U342+U343</f>
        <v>0</v>
      </c>
      <c r="V344" s="88" t="s">
        <v>6</v>
      </c>
      <c r="W344" s="30" t="s">
        <v>36</v>
      </c>
      <c r="X344" s="29">
        <f t="shared" si="221"/>
        <v>0</v>
      </c>
      <c r="Y344" s="30" t="s">
        <v>41</v>
      </c>
      <c r="Z344" s="31">
        <f>IF($AH$13&gt;0,0,BB344)</f>
        <v>0</v>
      </c>
      <c r="AC344" s="489"/>
      <c r="AD344" s="4"/>
      <c r="AE344" s="486"/>
      <c r="AF344" s="1416"/>
      <c r="AG344" s="26"/>
      <c r="AI344" s="174"/>
      <c r="AJ344" s="174"/>
      <c r="AK344" s="174"/>
      <c r="AL344" s="174"/>
      <c r="AM344" s="174"/>
      <c r="AN344" s="386"/>
      <c r="AO344" s="361" t="s">
        <v>36</v>
      </c>
      <c r="AP344" s="387">
        <f>ROUND(AP78*AQ341,0)</f>
        <v>0</v>
      </c>
      <c r="AQ344" s="360" t="s">
        <v>41</v>
      </c>
      <c r="AR344" s="388">
        <f>ROUND(AR78*AQ341,0)</f>
        <v>0</v>
      </c>
      <c r="AS344" s="386"/>
      <c r="AT344" s="361" t="s">
        <v>36</v>
      </c>
      <c r="AU344" s="387">
        <f>IF(AV341=0,0,IF(AV341&gt;=8,1,IF(AV341&lt;=-8,-1,0)))</f>
        <v>0</v>
      </c>
      <c r="AV344" s="389" t="s">
        <v>41</v>
      </c>
      <c r="AW344" s="388">
        <f>IF(AV341=0,0,IF(AV341&gt;=2,1,IF(AV341&lt;=-2,-1,0)))</f>
        <v>0</v>
      </c>
      <c r="AX344" s="356"/>
      <c r="AY344" s="431" t="s">
        <v>36</v>
      </c>
      <c r="AZ344" s="359">
        <f t="shared" si="222"/>
        <v>0</v>
      </c>
      <c r="BA344" s="360" t="s">
        <v>41</v>
      </c>
      <c r="BB344" s="430">
        <f>IF($AG$2&gt;0,"限度超過",AR344+AW344)</f>
        <v>0</v>
      </c>
      <c r="BC344" s="356"/>
      <c r="BD344" s="448" t="s">
        <v>36</v>
      </c>
      <c r="BE344" s="81">
        <f t="shared" si="223"/>
        <v>0</v>
      </c>
      <c r="BF344" s="82" t="s">
        <v>41</v>
      </c>
      <c r="BG344" s="29">
        <f>BG334</f>
        <v>0</v>
      </c>
      <c r="BH344" s="12"/>
      <c r="BI344" s="30" t="s">
        <v>36</v>
      </c>
      <c r="BJ344" s="29">
        <f t="shared" si="224"/>
        <v>0</v>
      </c>
      <c r="BK344" s="30" t="s">
        <v>41</v>
      </c>
      <c r="BL344" s="29">
        <f>IF($A$353=$L$353,"限度超過",IF(BG344=0,0,BG344/$S$271))</f>
        <v>0</v>
      </c>
      <c r="BM344" s="12"/>
      <c r="BN344" s="30" t="s">
        <v>36</v>
      </c>
      <c r="BO344" s="29">
        <f t="shared" si="225"/>
        <v>0</v>
      </c>
      <c r="BP344" s="30" t="s">
        <v>41</v>
      </c>
      <c r="BQ344" s="457">
        <f>IF($A$353=$L$353,"限度超過",IF($S$271&lt;=6,0,BL344))</f>
        <v>0</v>
      </c>
      <c r="BR344" s="12"/>
      <c r="BS344" s="12"/>
      <c r="BT344" s="12"/>
      <c r="BU344" s="12"/>
      <c r="BV344" s="12"/>
      <c r="BW344" s="12"/>
      <c r="BX344" s="32" t="s">
        <v>25</v>
      </c>
      <c r="BY344" s="45">
        <f>K337</f>
        <v>0</v>
      </c>
      <c r="BZ344" s="45">
        <f t="shared" si="226"/>
        <v>0</v>
      </c>
      <c r="CA344" s="45">
        <f t="shared" si="226"/>
        <v>0</v>
      </c>
      <c r="CB344" s="45">
        <f t="shared" si="226"/>
        <v>0</v>
      </c>
      <c r="CC344" s="4"/>
      <c r="CD344" s="4"/>
      <c r="CE344" s="4"/>
      <c r="CF344" s="4"/>
      <c r="CG344" s="4"/>
      <c r="CH344" s="4"/>
      <c r="CI344" s="13"/>
    </row>
    <row r="345" spans="1:87" ht="18.75" customHeight="1">
      <c r="A345" s="165"/>
      <c r="B345" s="12"/>
      <c r="C345" s="50"/>
      <c r="D345" s="12"/>
      <c r="E345" s="12"/>
      <c r="F345" s="12"/>
      <c r="G345" s="12"/>
      <c r="H345" s="91"/>
      <c r="I345" s="75"/>
      <c r="J345" s="75"/>
      <c r="K345" s="92"/>
      <c r="L345" s="75"/>
      <c r="M345" s="93"/>
      <c r="N345" s="94"/>
      <c r="O345" s="42">
        <f>IF(H346=0,0,$D$271)</f>
        <v>0</v>
      </c>
      <c r="P345" s="463">
        <f>IF(O346=0,0,"軽減額")</f>
        <v>0</v>
      </c>
      <c r="Q345" s="12"/>
      <c r="R345" s="95"/>
      <c r="S345" s="49"/>
      <c r="T345" s="96" t="s">
        <v>31</v>
      </c>
      <c r="U345" s="105">
        <f>ROUNDDOWN(U344,-2)</f>
        <v>0</v>
      </c>
      <c r="V345" s="88" t="s">
        <v>6</v>
      </c>
      <c r="W345" s="30" t="s">
        <v>43</v>
      </c>
      <c r="X345" s="29">
        <f t="shared" si="221"/>
        <v>0</v>
      </c>
      <c r="Y345" s="30" t="s">
        <v>42</v>
      </c>
      <c r="Z345" s="31">
        <f>IF($AH$13&gt;0,0,BB345)</f>
        <v>0</v>
      </c>
      <c r="AC345" s="489"/>
      <c r="AD345" s="4"/>
      <c r="AE345" s="497" t="str">
        <f>IF($AH$13&gt;0,"－",IF($AG$2&gt;0,"限度超過",IF(U346=Z346,"OK","ｱﾝﾏｯﾁ")))</f>
        <v>OK</v>
      </c>
      <c r="AF345" s="496"/>
      <c r="AG345" s="26"/>
      <c r="AI345" s="174"/>
      <c r="AJ345" s="174"/>
      <c r="AK345" s="174"/>
      <c r="AL345" s="174"/>
      <c r="AM345" s="174"/>
      <c r="AN345" s="386"/>
      <c r="AO345" s="361" t="s">
        <v>43</v>
      </c>
      <c r="AP345" s="387">
        <f>ROUND(AP79*AQ341,0)</f>
        <v>0</v>
      </c>
      <c r="AQ345" s="360" t="s">
        <v>42</v>
      </c>
      <c r="AR345" s="388">
        <f>ROUND(AR79*AQ341,0)</f>
        <v>0</v>
      </c>
      <c r="AS345" s="386"/>
      <c r="AT345" s="361" t="s">
        <v>43</v>
      </c>
      <c r="AU345" s="387">
        <f>IF(AV341=0,0,IF(AV341&gt;=7,1,IF(AV341&lt;=-7,-1,0)))</f>
        <v>0</v>
      </c>
      <c r="AV345" s="389" t="s">
        <v>42</v>
      </c>
      <c r="AW345" s="388">
        <f>IF(AV341=0,0,IF(AV341&gt;=1,1,IF(AV341&lt;=-1,-1,0)))</f>
        <v>0</v>
      </c>
      <c r="AX345" s="356"/>
      <c r="AY345" s="431" t="s">
        <v>43</v>
      </c>
      <c r="AZ345" s="359">
        <f t="shared" si="222"/>
        <v>0</v>
      </c>
      <c r="BA345" s="360" t="s">
        <v>42</v>
      </c>
      <c r="BB345" s="430">
        <f>IF($AG$2&gt;0,"限度超過",AR345+AW345)</f>
        <v>0</v>
      </c>
      <c r="BC345" s="356"/>
      <c r="BD345" s="448" t="s">
        <v>43</v>
      </c>
      <c r="BE345" s="81">
        <f t="shared" si="223"/>
        <v>0</v>
      </c>
      <c r="BF345" s="82" t="s">
        <v>42</v>
      </c>
      <c r="BG345" s="29">
        <f>BG335</f>
        <v>0</v>
      </c>
      <c r="BH345" s="12"/>
      <c r="BI345" s="30" t="s">
        <v>43</v>
      </c>
      <c r="BJ345" s="29">
        <f t="shared" si="224"/>
        <v>0</v>
      </c>
      <c r="BK345" s="30" t="s">
        <v>42</v>
      </c>
      <c r="BL345" s="29">
        <f>IF($A$353=$L$353,"限度超過",IF(BG345=0,0,BG345/$S$271))</f>
        <v>0</v>
      </c>
      <c r="BM345" s="12"/>
      <c r="BN345" s="30" t="s">
        <v>43</v>
      </c>
      <c r="BO345" s="29">
        <f t="shared" si="225"/>
        <v>0</v>
      </c>
      <c r="BP345" s="30" t="s">
        <v>42</v>
      </c>
      <c r="BQ345" s="457">
        <f>IF($A$353=$L$353,"限度超過",IF($S$271&lt;=6,0,BL345))</f>
        <v>0</v>
      </c>
      <c r="BR345" s="12"/>
      <c r="BS345" s="12"/>
      <c r="BT345" s="12"/>
      <c r="BU345" s="12"/>
      <c r="BV345" s="12"/>
      <c r="BW345" s="12"/>
      <c r="BX345" s="32" t="s">
        <v>26</v>
      </c>
      <c r="BY345" s="26">
        <f>H336</f>
        <v>0</v>
      </c>
      <c r="BZ345" s="99">
        <f t="shared" si="226"/>
        <v>0</v>
      </c>
      <c r="CA345" s="99">
        <f t="shared" si="226"/>
        <v>0</v>
      </c>
      <c r="CB345" s="99">
        <f t="shared" si="226"/>
        <v>0</v>
      </c>
      <c r="CC345" s="4"/>
      <c r="CD345" s="4"/>
      <c r="CE345" s="4"/>
      <c r="CF345" s="4"/>
      <c r="CG345" s="4"/>
      <c r="CH345" s="4"/>
      <c r="CI345" s="13"/>
    </row>
    <row r="346" spans="1:87" ht="18.75" customHeight="1">
      <c r="A346" s="1378" t="s">
        <v>10</v>
      </c>
      <c r="B346" s="12"/>
      <c r="C346" s="12"/>
      <c r="D346" s="1379" t="s">
        <v>7</v>
      </c>
      <c r="E346" s="1389">
        <f>IF(H346&gt;0,$CE$274,0)</f>
        <v>0</v>
      </c>
      <c r="F346" s="97"/>
      <c r="G346" s="1010" t="s">
        <v>59</v>
      </c>
      <c r="H346" s="1390">
        <f>IF(B341=0,0,SUBTOTAL(3,B341))</f>
        <v>0</v>
      </c>
      <c r="I346" s="1385" t="s">
        <v>22</v>
      </c>
      <c r="J346" s="1010" t="s">
        <v>59</v>
      </c>
      <c r="K346" s="51">
        <f>IF(H346&gt;0,K343,0)</f>
        <v>0</v>
      </c>
      <c r="L346" s="52" t="s">
        <v>5</v>
      </c>
      <c r="M346" s="1527" t="s">
        <v>122</v>
      </c>
      <c r="N346" s="1548">
        <f>IF(O346=0,0,"―")</f>
        <v>0</v>
      </c>
      <c r="O346" s="1525">
        <f>IF(H346&lt;=0,0,IF($D$271=0,0,IF($D$271=7,BZ354,IF($D$271=5,CA354,IF($D$271=2,CB354,"間違い!")))))</f>
        <v>0</v>
      </c>
      <c r="P346" s="1526"/>
      <c r="Q346" s="1392" t="s">
        <v>130</v>
      </c>
      <c r="R346" s="1391">
        <f>IF(H346&gt;0,IF(K343=0,0,ROUNDDOWN(((E346*H346)*K346/K347)-O346,0)),0)</f>
        <v>0</v>
      </c>
      <c r="S346" s="1524" t="s">
        <v>6</v>
      </c>
      <c r="T346" s="1537" t="s">
        <v>32</v>
      </c>
      <c r="U346" s="1522">
        <f>IF($L$353=$A$353,"限度超過",U344)</f>
        <v>0</v>
      </c>
      <c r="V346" s="1512" t="s">
        <v>6</v>
      </c>
      <c r="W346" s="30" t="s">
        <v>37</v>
      </c>
      <c r="X346" s="29">
        <f t="shared" si="221"/>
        <v>0</v>
      </c>
      <c r="Y346" s="1313" t="s">
        <v>44</v>
      </c>
      <c r="Z346" s="1420">
        <f>IF($AH$13&gt;0,0,BB346)</f>
        <v>0</v>
      </c>
      <c r="AC346" s="489"/>
      <c r="AD346" s="4"/>
      <c r="AE346" s="497" t="str">
        <f>IF($AG$2&gt;0,"限度超過",IF(X342+X343+X344+X345+X346+X347+Z342+Z343+Z344+Z345=Z346,"OK","エラー"))</f>
        <v>OK</v>
      </c>
      <c r="AF346" s="1521">
        <f>IF(H346&gt;0,IF(K343=0,0,ROUNDDOWN((E346*H346)-O346,0)),0)</f>
        <v>0</v>
      </c>
      <c r="AG346" s="4"/>
      <c r="AH346" s="4"/>
      <c r="AI346" s="174"/>
      <c r="AJ346" s="174"/>
      <c r="AK346" s="174"/>
      <c r="AL346" s="174"/>
      <c r="AM346" s="174"/>
      <c r="AN346" s="386"/>
      <c r="AO346" s="361" t="s">
        <v>37</v>
      </c>
      <c r="AP346" s="387">
        <f>ROUND(AP80*AQ341,0)</f>
        <v>0</v>
      </c>
      <c r="AQ346" s="362" t="s">
        <v>44</v>
      </c>
      <c r="AR346" s="363">
        <f>AP342+AP343+AP344+AP345+AP346+AP347+AR342+AR343+AR344+AR345</f>
        <v>0</v>
      </c>
      <c r="AS346" s="386"/>
      <c r="AT346" s="361" t="s">
        <v>37</v>
      </c>
      <c r="AU346" s="387">
        <f>IF(AV341=0,0,IF(AV341&gt;=6,1,IF(AV341&lt;=-6,-1,0)))</f>
        <v>0</v>
      </c>
      <c r="AV346" s="391" t="s">
        <v>44</v>
      </c>
      <c r="AW346" s="392">
        <f>AU342+AU343+AU344+AU345+AU346+AU347+AW342+AW343+AW344+AW345</f>
        <v>0</v>
      </c>
      <c r="AX346" s="356"/>
      <c r="AY346" s="431" t="s">
        <v>37</v>
      </c>
      <c r="AZ346" s="359">
        <f t="shared" si="222"/>
        <v>0</v>
      </c>
      <c r="BA346" s="362" t="s">
        <v>44</v>
      </c>
      <c r="BB346" s="432">
        <f>IF($AG$2&gt;0,"限度超過",AZ342+AZ343+AZ344+AZ345+AZ346+AZ347+BB342+BB343+BB344+BB345)</f>
        <v>0</v>
      </c>
      <c r="BC346" s="356"/>
      <c r="BD346" s="448" t="s">
        <v>37</v>
      </c>
      <c r="BE346" s="81">
        <f t="shared" si="223"/>
        <v>0</v>
      </c>
      <c r="BF346" s="440" t="s">
        <v>44</v>
      </c>
      <c r="BG346" s="29">
        <f>IF($A$353=$L$353,"限度超過",BE342+BE343+BE344+BE345+BE346+BE347+BG342+BG343+BG344+BG345)</f>
        <v>0</v>
      </c>
      <c r="BH346" s="12"/>
      <c r="BI346" s="30" t="s">
        <v>37</v>
      </c>
      <c r="BJ346" s="29">
        <f t="shared" si="224"/>
        <v>0</v>
      </c>
      <c r="BK346" s="98" t="s">
        <v>44</v>
      </c>
      <c r="BL346" s="29">
        <f>IF($A$353=$L$353,"限度超過",BJ342+BJ343+BJ344+BJ345+BJ346+BJ347+BL342+BL343+BL344+BL345)</f>
        <v>0</v>
      </c>
      <c r="BM346" s="12"/>
      <c r="BN346" s="30" t="s">
        <v>37</v>
      </c>
      <c r="BO346" s="29">
        <f t="shared" si="225"/>
        <v>0</v>
      </c>
      <c r="BP346" s="98" t="s">
        <v>44</v>
      </c>
      <c r="BQ346" s="457">
        <f>IF($A$353=$L$353,"限度超過",BO342+BO343+BO344+BO345+BO346+BO347+BQ342+BQ343+BQ344+BQ345)</f>
        <v>0</v>
      </c>
      <c r="BR346" s="12"/>
      <c r="BS346" s="12"/>
      <c r="BT346" s="12"/>
      <c r="BU346" s="106" t="s">
        <v>56</v>
      </c>
      <c r="BV346" s="32" t="s">
        <v>8</v>
      </c>
      <c r="BW346" s="12"/>
      <c r="BX346" s="67" t="s">
        <v>27</v>
      </c>
      <c r="BY346" s="45">
        <f>IF(BY345&gt;0,ROUNDDOWN(BY342*BY345*BY343/BY344,0),0)</f>
        <v>0</v>
      </c>
      <c r="BZ346" s="45">
        <f>IF(BZ345&gt;0,ROUNDDOWN(BZ342*BZ345*BZ343/BZ344,0),0)</f>
        <v>0</v>
      </c>
      <c r="CA346" s="45">
        <f>IF(CA345&gt;0,ROUNDDOWN(CA342*CA345*CA343/CA344,0),0)</f>
        <v>0</v>
      </c>
      <c r="CB346" s="45">
        <f>IF(CB345&gt;0,ROUNDDOWN(CB342*CB345*CB343/CB344,0),0)</f>
        <v>0</v>
      </c>
      <c r="CC346" s="4"/>
      <c r="CE346" s="4"/>
      <c r="CF346" s="4"/>
      <c r="CG346" s="4"/>
      <c r="CH346" s="4"/>
      <c r="CI346" s="13"/>
    </row>
    <row r="347" spans="1:87" ht="18.75" customHeight="1">
      <c r="A347" s="1378"/>
      <c r="B347" s="12"/>
      <c r="C347" s="12"/>
      <c r="D347" s="1379"/>
      <c r="E347" s="1389"/>
      <c r="F347" s="12"/>
      <c r="G347" s="1010"/>
      <c r="H347" s="1390"/>
      <c r="I347" s="1385"/>
      <c r="J347" s="1010"/>
      <c r="K347" s="180">
        <f>IF(H346&gt;0,K344,0)</f>
        <v>0</v>
      </c>
      <c r="L347" s="12" t="s">
        <v>5</v>
      </c>
      <c r="M347" s="1527"/>
      <c r="N347" s="1548"/>
      <c r="O347" s="1526"/>
      <c r="P347" s="1526"/>
      <c r="Q347" s="1392"/>
      <c r="R347" s="1391"/>
      <c r="S347" s="1524"/>
      <c r="T347" s="1537"/>
      <c r="U347" s="1522"/>
      <c r="V347" s="1512"/>
      <c r="W347" s="30" t="s">
        <v>38</v>
      </c>
      <c r="X347" s="29">
        <f t="shared" si="221"/>
        <v>0</v>
      </c>
      <c r="Y347" s="1422"/>
      <c r="Z347" s="1421"/>
      <c r="AC347" s="489"/>
      <c r="AD347" s="4"/>
      <c r="AE347" s="74"/>
      <c r="AF347" s="1416"/>
      <c r="AG347" s="71"/>
      <c r="AH347" s="71"/>
      <c r="AI347" s="174"/>
      <c r="AJ347" s="174"/>
      <c r="AK347" s="174"/>
      <c r="AL347" s="174"/>
      <c r="AM347" s="174"/>
      <c r="AN347" s="386"/>
      <c r="AO347" s="361" t="s">
        <v>38</v>
      </c>
      <c r="AP347" s="387">
        <f>ROUND(AP81*AQ341,0)</f>
        <v>0</v>
      </c>
      <c r="AQ347" s="360" t="s">
        <v>75</v>
      </c>
      <c r="AR347" s="393">
        <f>U346</f>
        <v>0</v>
      </c>
      <c r="AS347" s="386"/>
      <c r="AT347" s="361" t="s">
        <v>38</v>
      </c>
      <c r="AU347" s="387">
        <f>IF(AV341=0,0,IF(AV341&gt;=5,1,IF(AV341&lt;=-5,-1,0)))</f>
        <v>0</v>
      </c>
      <c r="AV347" s="389"/>
      <c r="AW347" s="394" t="str">
        <f>IF(AU342+AU343+AU344+AU345+AU346+AU347+AW342+AW343+AW344+AW345=AV341,"計算ＯＫ","エラー発生")</f>
        <v>計算ＯＫ</v>
      </c>
      <c r="AX347" s="356"/>
      <c r="AY347" s="431" t="s">
        <v>38</v>
      </c>
      <c r="AZ347" s="359">
        <f t="shared" si="222"/>
        <v>0</v>
      </c>
      <c r="BA347" s="360"/>
      <c r="BB347" s="433">
        <f>IF($AG$2&gt;0,"限度超過",U346)</f>
        <v>0</v>
      </c>
      <c r="BC347" s="356"/>
      <c r="BD347" s="448" t="s">
        <v>38</v>
      </c>
      <c r="BE347" s="81">
        <f t="shared" si="223"/>
        <v>0</v>
      </c>
      <c r="BF347" s="82"/>
      <c r="BG347" s="100"/>
      <c r="BH347" s="12"/>
      <c r="BI347" s="30" t="s">
        <v>38</v>
      </c>
      <c r="BJ347" s="29">
        <f t="shared" si="224"/>
        <v>0</v>
      </c>
      <c r="BK347" s="30"/>
      <c r="BL347" s="100"/>
      <c r="BM347" s="12"/>
      <c r="BN347" s="30" t="s">
        <v>38</v>
      </c>
      <c r="BO347" s="29">
        <f t="shared" si="225"/>
        <v>0</v>
      </c>
      <c r="BP347" s="30"/>
      <c r="BQ347" s="458"/>
      <c r="BR347" s="12"/>
      <c r="BS347" s="12"/>
      <c r="BT347" s="12"/>
      <c r="BU347" s="32" t="s">
        <v>132</v>
      </c>
      <c r="BV347" s="45">
        <f>入力画面!I14</f>
        <v>0</v>
      </c>
      <c r="BW347" s="12"/>
      <c r="BX347" s="4"/>
      <c r="BY347" s="4"/>
      <c r="BZ347" s="4"/>
      <c r="CA347" s="4"/>
      <c r="CB347" s="4"/>
      <c r="CC347" s="4"/>
      <c r="CD347" s="4"/>
      <c r="CE347" s="4"/>
      <c r="CF347" s="4"/>
      <c r="CG347" s="4"/>
      <c r="CH347" s="4"/>
      <c r="CI347" s="13"/>
    </row>
    <row r="348" spans="1:87" ht="18.75" customHeight="1" thickBot="1">
      <c r="A348" s="200"/>
      <c r="B348" s="75" t="s">
        <v>118</v>
      </c>
      <c r="C348" s="12"/>
      <c r="D348" s="160"/>
      <c r="E348" s="161"/>
      <c r="F348" s="12"/>
      <c r="G348" s="50"/>
      <c r="H348" s="162"/>
      <c r="I348" s="159"/>
      <c r="J348" s="50"/>
      <c r="K348" s="180"/>
      <c r="L348" s="12"/>
      <c r="M348" s="86"/>
      <c r="N348" s="86"/>
      <c r="O348" s="181"/>
      <c r="P348" s="181"/>
      <c r="Q348" s="156"/>
      <c r="R348" s="157"/>
      <c r="S348" s="49"/>
      <c r="T348" s="50"/>
      <c r="U348" s="182"/>
      <c r="V348" s="50"/>
      <c r="W348" s="4"/>
      <c r="X348" s="26"/>
      <c r="Y348" s="170"/>
      <c r="Z348" s="185"/>
      <c r="AC348" s="489"/>
      <c r="AD348" s="4"/>
      <c r="AE348" s="74"/>
      <c r="AF348" s="234"/>
      <c r="AG348" s="73"/>
      <c r="AH348" s="189"/>
      <c r="AI348" s="174"/>
      <c r="AJ348" s="174"/>
      <c r="AK348" s="174"/>
      <c r="AL348" s="174"/>
      <c r="AM348" s="174"/>
      <c r="AN348" s="386"/>
      <c r="AO348" s="364"/>
      <c r="AP348" s="364"/>
      <c r="AQ348" s="365"/>
      <c r="AR348" s="365"/>
      <c r="AS348" s="386"/>
      <c r="AT348" s="386"/>
      <c r="AU348" s="386"/>
      <c r="AV348" s="386"/>
      <c r="AW348" s="386"/>
      <c r="AX348" s="356"/>
      <c r="AY348" s="434"/>
      <c r="AZ348" s="467" t="str">
        <f>IF($AG$2&gt;0,"限度超過","－")</f>
        <v>－</v>
      </c>
      <c r="BA348" s="365"/>
      <c r="BB348" s="466" t="str">
        <f>IF(BB346=BB347,"OK","エラー")</f>
        <v>OK</v>
      </c>
      <c r="BC348" s="356"/>
      <c r="BD348" s="451"/>
      <c r="BE348" s="452"/>
      <c r="BF348" s="452"/>
      <c r="BG348" s="452"/>
      <c r="BH348" s="453"/>
      <c r="BI348" s="452"/>
      <c r="BJ348" s="452"/>
      <c r="BK348" s="452"/>
      <c r="BL348" s="452"/>
      <c r="BM348" s="453"/>
      <c r="BN348" s="452"/>
      <c r="BO348" s="452"/>
      <c r="BP348" s="452"/>
      <c r="BQ348" s="461"/>
      <c r="BR348" s="12"/>
      <c r="BS348" s="12"/>
      <c r="BT348" s="12"/>
      <c r="BU348" s="32" t="s">
        <v>133</v>
      </c>
      <c r="BV348" s="45">
        <f>K293</f>
        <v>0</v>
      </c>
      <c r="BW348" s="12"/>
      <c r="BX348" s="4"/>
      <c r="BY348" s="4"/>
      <c r="BZ348" s="4"/>
      <c r="CA348" s="4"/>
      <c r="CB348" s="4"/>
      <c r="CC348" s="4"/>
      <c r="CI348" s="13"/>
    </row>
    <row r="349" spans="1:87" ht="18.75" customHeight="1" thickTop="1">
      <c r="A349" s="58" t="s">
        <v>1</v>
      </c>
      <c r="B349" s="52"/>
      <c r="C349" s="187">
        <f>IF(H346&gt;0,$X$279,0)</f>
        <v>0</v>
      </c>
      <c r="D349" s="201" t="s">
        <v>6</v>
      </c>
      <c r="E349" s="60" t="s">
        <v>131</v>
      </c>
      <c r="F349" s="1377">
        <f>K343</f>
        <v>0</v>
      </c>
      <c r="G349" s="1377"/>
      <c r="H349" s="214" t="s">
        <v>5</v>
      </c>
      <c r="I349" s="1388" t="s">
        <v>14</v>
      </c>
      <c r="J349" s="1388"/>
      <c r="K349" s="1377">
        <f>C349*F349</f>
        <v>0</v>
      </c>
      <c r="L349" s="1377"/>
      <c r="M349" s="202" t="s">
        <v>6</v>
      </c>
      <c r="N349" s="202"/>
      <c r="O349" s="203"/>
      <c r="P349" s="203"/>
      <c r="Q349" s="63"/>
      <c r="R349" s="204"/>
      <c r="S349" s="59"/>
      <c r="T349" s="27"/>
      <c r="U349" s="205"/>
      <c r="V349" s="27"/>
      <c r="W349" s="186"/>
      <c r="X349" s="187"/>
      <c r="Y349" s="206"/>
      <c r="Z349" s="163"/>
      <c r="AC349" s="489"/>
      <c r="AD349" s="4"/>
      <c r="AE349" s="74"/>
      <c r="AF349" s="235"/>
      <c r="AG349" s="26"/>
      <c r="AH349" s="26"/>
      <c r="AI349" s="174"/>
      <c r="AJ349" s="174"/>
      <c r="AK349" s="174"/>
      <c r="AL349" s="174"/>
      <c r="AM349" s="174"/>
      <c r="AN349" s="174"/>
      <c r="AO349" s="174"/>
      <c r="AP349" s="174"/>
      <c r="AQ349" s="174"/>
      <c r="AR349" s="174"/>
      <c r="AS349" s="174"/>
      <c r="AT349" s="174"/>
      <c r="AU349" s="174"/>
      <c r="AV349" s="174"/>
      <c r="AW349" s="174"/>
      <c r="AX349" s="12"/>
      <c r="BC349" s="12"/>
      <c r="BH349" s="12"/>
      <c r="BM349" s="12"/>
      <c r="BR349" s="12"/>
      <c r="BS349" s="12"/>
      <c r="BT349" s="12"/>
      <c r="BU349" s="227" t="s">
        <v>134</v>
      </c>
      <c r="BV349" s="99">
        <f>K303</f>
        <v>0</v>
      </c>
      <c r="BW349" s="12"/>
      <c r="BX349" s="32"/>
      <c r="BY349" s="33" t="str">
        <f>BY341</f>
        <v>料率</v>
      </c>
      <c r="BZ349" s="33">
        <f>BZ341</f>
        <v>7</v>
      </c>
      <c r="CA349" s="33">
        <f>CA341</f>
        <v>5</v>
      </c>
      <c r="CB349" s="33">
        <f>CB341</f>
        <v>2</v>
      </c>
      <c r="CC349" s="4"/>
      <c r="CD349" s="4"/>
      <c r="CE349" s="4"/>
      <c r="CF349" s="4"/>
      <c r="CG349" s="4"/>
      <c r="CH349" s="4"/>
      <c r="CI349" s="13"/>
    </row>
    <row r="350" spans="1:87" ht="25.5">
      <c r="D350" s="101"/>
      <c r="E350" s="70"/>
      <c r="G350" s="9"/>
      <c r="H350" s="102"/>
      <c r="I350" s="107"/>
      <c r="J350" s="9"/>
      <c r="K350" s="108"/>
      <c r="Q350" s="70"/>
      <c r="R350" s="69"/>
      <c r="S350" s="68"/>
      <c r="T350" s="68"/>
      <c r="U350" s="68"/>
      <c r="AC350" s="489"/>
      <c r="AD350" s="4"/>
      <c r="AE350" s="74"/>
      <c r="AF350" s="231"/>
      <c r="AG350" s="26"/>
      <c r="AH350" s="4"/>
      <c r="AI350" s="174"/>
      <c r="AJ350" s="174"/>
      <c r="AK350" s="174"/>
      <c r="AL350" s="174"/>
      <c r="AM350" s="174"/>
      <c r="AN350" s="174"/>
      <c r="AO350" s="174"/>
      <c r="AP350" s="174"/>
      <c r="AQ350" s="174"/>
      <c r="AR350" s="174"/>
      <c r="AS350" s="174"/>
      <c r="AT350" s="174"/>
      <c r="AU350" s="174"/>
      <c r="AV350" s="174"/>
      <c r="AW350" s="174"/>
      <c r="AX350" s="12"/>
      <c r="BC350" s="12"/>
      <c r="BH350" s="12"/>
      <c r="BM350" s="12"/>
      <c r="BR350" s="12"/>
      <c r="BS350" s="12"/>
      <c r="BT350" s="12"/>
      <c r="BU350" s="216" t="s">
        <v>135</v>
      </c>
      <c r="BV350" s="217">
        <f>K313</f>
        <v>0</v>
      </c>
      <c r="BW350" s="12"/>
      <c r="BX350" s="32" t="s">
        <v>17</v>
      </c>
      <c r="BY350" s="44">
        <v>0</v>
      </c>
      <c r="BZ350" s="45">
        <f>$CF$274</f>
        <v>5440</v>
      </c>
      <c r="CA350" s="45">
        <f>$CG$274</f>
        <v>3880</v>
      </c>
      <c r="CB350" s="45">
        <f>$CH$274</f>
        <v>1560</v>
      </c>
      <c r="CC350" s="4"/>
      <c r="CD350" s="4"/>
      <c r="CE350" s="4"/>
      <c r="CF350" s="4"/>
      <c r="CG350" s="4"/>
      <c r="CH350" s="4"/>
      <c r="CI350" s="13"/>
    </row>
    <row r="351" spans="1:87" ht="25.5">
      <c r="D351" s="101"/>
      <c r="E351" s="70"/>
      <c r="G351" s="9"/>
      <c r="H351" s="102"/>
      <c r="I351" s="107"/>
      <c r="J351" s="9"/>
      <c r="K351" s="108"/>
      <c r="Q351" s="70"/>
      <c r="R351" s="69"/>
      <c r="S351" s="68"/>
      <c r="T351" s="68"/>
      <c r="U351" s="68"/>
      <c r="AC351" s="489"/>
      <c r="AD351" s="4"/>
      <c r="AE351" s="74"/>
      <c r="AF351" s="231"/>
      <c r="AG351" s="26"/>
      <c r="AH351" s="71"/>
      <c r="AI351" s="174"/>
      <c r="AJ351" s="174"/>
      <c r="AK351" s="174"/>
      <c r="AL351" s="174"/>
      <c r="AM351" s="174"/>
      <c r="AN351" s="174"/>
      <c r="AO351" s="174"/>
      <c r="AP351" s="174"/>
      <c r="AQ351" s="174"/>
      <c r="AR351" s="174"/>
      <c r="AS351" s="174"/>
      <c r="AT351" s="174"/>
      <c r="AU351" s="174"/>
      <c r="AV351" s="174"/>
      <c r="AW351" s="174"/>
      <c r="AX351" s="12"/>
      <c r="BC351" s="12"/>
      <c r="BH351" s="12"/>
      <c r="BM351" s="12"/>
      <c r="BR351" s="12"/>
      <c r="BS351" s="12"/>
      <c r="BT351" s="12"/>
      <c r="BU351" s="32" t="s">
        <v>136</v>
      </c>
      <c r="BV351" s="45">
        <f>K323</f>
        <v>0</v>
      </c>
      <c r="BW351" s="12"/>
      <c r="BX351" s="32" t="s">
        <v>8</v>
      </c>
      <c r="BY351" s="45">
        <f>K346</f>
        <v>0</v>
      </c>
      <c r="BZ351" s="45">
        <f t="shared" ref="BZ351:CB353" si="227">BY351</f>
        <v>0</v>
      </c>
      <c r="CA351" s="45">
        <f t="shared" si="227"/>
        <v>0</v>
      </c>
      <c r="CB351" s="45">
        <f t="shared" si="227"/>
        <v>0</v>
      </c>
      <c r="CC351" s="4"/>
      <c r="CD351" s="4"/>
      <c r="CE351" s="4"/>
      <c r="CF351" s="4"/>
      <c r="CG351" s="4"/>
      <c r="CH351" s="4"/>
      <c r="CI351" s="13"/>
    </row>
    <row r="352" spans="1:87" ht="26.25" thickBot="1">
      <c r="D352" s="101"/>
      <c r="E352" s="70"/>
      <c r="G352" s="9"/>
      <c r="H352" s="102"/>
      <c r="I352" s="107"/>
      <c r="J352" s="9"/>
      <c r="K352" s="108"/>
      <c r="Q352" s="70"/>
      <c r="R352" s="69"/>
      <c r="S352" s="68"/>
      <c r="T352" s="68"/>
      <c r="U352" s="68"/>
      <c r="AC352" s="489"/>
      <c r="AD352" s="4"/>
      <c r="AE352" s="74"/>
      <c r="AF352" s="231"/>
      <c r="AG352" s="26"/>
      <c r="AH352" s="189"/>
      <c r="AI352" s="174"/>
      <c r="AJ352" s="174"/>
      <c r="AK352" s="174"/>
      <c r="AL352" s="174"/>
      <c r="AM352" s="174"/>
      <c r="AN352" s="174"/>
      <c r="AO352" s="174"/>
      <c r="AP352" s="174"/>
      <c r="AQ352" s="174"/>
      <c r="AR352" s="174"/>
      <c r="AS352" s="174"/>
      <c r="AT352" s="174"/>
      <c r="AU352" s="174"/>
      <c r="AV352" s="174"/>
      <c r="AW352" s="174"/>
      <c r="AX352" s="12"/>
      <c r="BC352" s="12"/>
      <c r="BH352" s="12"/>
      <c r="BM352" s="12"/>
      <c r="BR352" s="12"/>
      <c r="BS352" s="12"/>
      <c r="BT352" s="12"/>
      <c r="BU352" s="32" t="s">
        <v>137</v>
      </c>
      <c r="BV352" s="45">
        <f>K333</f>
        <v>0</v>
      </c>
      <c r="BW352" s="12"/>
      <c r="BX352" s="32" t="s">
        <v>25</v>
      </c>
      <c r="BY352" s="45">
        <f>K347</f>
        <v>0</v>
      </c>
      <c r="BZ352" s="45">
        <f t="shared" si="227"/>
        <v>0</v>
      </c>
      <c r="CA352" s="45">
        <f t="shared" si="227"/>
        <v>0</v>
      </c>
      <c r="CB352" s="45">
        <f t="shared" si="227"/>
        <v>0</v>
      </c>
      <c r="CC352" s="4"/>
      <c r="CD352" s="4"/>
      <c r="CE352" s="4"/>
      <c r="CF352" s="4"/>
      <c r="CG352" s="4"/>
      <c r="CH352" s="4"/>
      <c r="CI352" s="13"/>
    </row>
    <row r="353" spans="1:87" ht="25.5" thickTop="1" thickBot="1">
      <c r="A353" s="1383">
        <f>CE276</f>
        <v>170000</v>
      </c>
      <c r="B353" s="1383"/>
      <c r="C353" s="1383"/>
      <c r="D353" s="1383"/>
      <c r="F353" s="109"/>
      <c r="G353" s="109"/>
      <c r="H353" s="1583" t="s">
        <v>119</v>
      </c>
      <c r="I353" s="1584"/>
      <c r="J353" s="1584"/>
      <c r="K353" s="1584"/>
      <c r="L353" s="1547">
        <f>IF(ROUNDDOWN(R283+R286+K289+R293+R296+K299+R303+R306+K309+R313+R316+K319+R323+R326+K329+R333+R336+K339+R343+R346+K349,-2)&gt;CG292,CG292,ROUNDDOWN(R283+R286+K289+R293+R296+K299+R303+R306+K309+R313+R316+K319+R323+R326+K329+R333+R336+K339+R343+R346+K349,-2))</f>
        <v>0</v>
      </c>
      <c r="M353" s="1547"/>
      <c r="N353" s="1547"/>
      <c r="O353" s="1547"/>
      <c r="P353" s="1547"/>
      <c r="Q353" s="1547"/>
      <c r="R353" s="1547"/>
      <c r="S353" s="110" t="s">
        <v>6</v>
      </c>
      <c r="T353" s="49"/>
      <c r="U353" s="111"/>
      <c r="AC353" s="489"/>
      <c r="AD353" s="4"/>
      <c r="AE353" s="74"/>
      <c r="AF353" s="231"/>
      <c r="AG353" s="26"/>
      <c r="AH353" s="26"/>
      <c r="AI353" s="174"/>
      <c r="AJ353" s="174"/>
      <c r="AK353" s="174"/>
      <c r="AL353" s="174"/>
      <c r="AM353" s="174"/>
      <c r="AN353" s="174"/>
      <c r="AO353" s="174"/>
      <c r="AP353" s="174"/>
      <c r="AQ353" s="174"/>
      <c r="AR353" s="174"/>
      <c r="AS353" s="174"/>
      <c r="AT353" s="174"/>
      <c r="AU353" s="174"/>
      <c r="AV353" s="174"/>
      <c r="AW353" s="174"/>
      <c r="AX353" s="12"/>
      <c r="BC353" s="12"/>
      <c r="BH353" s="12"/>
      <c r="BM353" s="12"/>
      <c r="BR353" s="12"/>
      <c r="BS353" s="12"/>
      <c r="BT353" s="12"/>
      <c r="BU353" s="32" t="s">
        <v>138</v>
      </c>
      <c r="BV353" s="45">
        <f>K343</f>
        <v>0</v>
      </c>
      <c r="BW353" s="12"/>
      <c r="BX353" s="32" t="s">
        <v>26</v>
      </c>
      <c r="BY353" s="26">
        <f>H346</f>
        <v>0</v>
      </c>
      <c r="BZ353" s="99">
        <f t="shared" si="227"/>
        <v>0</v>
      </c>
      <c r="CA353" s="99">
        <f t="shared" si="227"/>
        <v>0</v>
      </c>
      <c r="CB353" s="99">
        <f t="shared" si="227"/>
        <v>0</v>
      </c>
      <c r="CC353" s="4"/>
      <c r="CD353" s="4"/>
      <c r="CE353" s="4"/>
      <c r="CF353" s="4"/>
      <c r="CG353" s="4"/>
      <c r="CH353" s="4"/>
      <c r="CI353" s="13"/>
    </row>
    <row r="354" spans="1:87" ht="15.75" thickTop="1">
      <c r="K354" s="1577"/>
      <c r="L354" s="1577"/>
      <c r="M354" s="1577"/>
      <c r="N354" s="1577"/>
      <c r="O354" s="1577"/>
      <c r="P354" s="1577"/>
      <c r="Q354" s="1577"/>
      <c r="R354" s="112" t="s">
        <v>13</v>
      </c>
      <c r="AC354" s="489"/>
      <c r="AD354" s="4"/>
      <c r="AE354" s="74"/>
      <c r="AF354" s="216"/>
      <c r="AG354" s="4"/>
      <c r="AH354" s="4"/>
      <c r="AI354" s="174"/>
      <c r="AJ354" s="174"/>
      <c r="AK354" s="174"/>
      <c r="AL354" s="174"/>
      <c r="AM354" s="174"/>
      <c r="AN354" s="174"/>
      <c r="AO354" s="174"/>
      <c r="AP354" s="174"/>
      <c r="AQ354" s="174"/>
      <c r="AR354" s="174"/>
      <c r="AS354" s="174"/>
      <c r="AT354" s="174"/>
      <c r="AU354" s="174"/>
      <c r="AV354" s="174"/>
      <c r="AW354" s="174"/>
      <c r="AX354" s="12"/>
      <c r="BC354" s="12"/>
      <c r="BH354" s="12"/>
      <c r="BM354" s="12"/>
      <c r="BR354" s="12"/>
      <c r="BS354" s="12"/>
      <c r="BT354" s="12"/>
      <c r="BU354" s="168" t="s">
        <v>108</v>
      </c>
      <c r="BV354" s="211">
        <f>MAX(BV347:BV353)</f>
        <v>0</v>
      </c>
      <c r="BW354" s="12"/>
      <c r="BX354" s="67" t="s">
        <v>27</v>
      </c>
      <c r="BY354" s="45">
        <f>IF(BY353&gt;0,ROUNDDOWN(BY350*BY353*BY351/BY352,0),0)</f>
        <v>0</v>
      </c>
      <c r="BZ354" s="45">
        <f>IF(BZ353&gt;0,ROUNDDOWN(BZ350*BZ353*BZ351/BZ352,0),0)</f>
        <v>0</v>
      </c>
      <c r="CA354" s="45">
        <f>IF(CA353&gt;0,ROUNDDOWN(CA350*CA353*CA351/CA352,0),0)</f>
        <v>0</v>
      </c>
      <c r="CB354" s="45">
        <f>IF(CB353&gt;0,ROUNDDOWN(CB350*CB353*CB351/CB352,0),0)</f>
        <v>0</v>
      </c>
      <c r="CC354" s="4"/>
      <c r="CD354" s="4"/>
      <c r="CE354" s="4"/>
      <c r="CF354" s="4"/>
      <c r="CG354" s="4"/>
      <c r="CH354" s="4"/>
      <c r="CI354" s="13"/>
    </row>
    <row r="355" spans="1:87">
      <c r="B355" s="113"/>
      <c r="C355" s="113"/>
      <c r="D355" s="113"/>
      <c r="K355" s="70"/>
      <c r="L355" s="70"/>
      <c r="M355" s="70"/>
      <c r="N355" s="114"/>
      <c r="O355" s="114"/>
      <c r="P355" s="70"/>
      <c r="Q355" s="70"/>
      <c r="R355" s="112"/>
      <c r="AC355" s="489"/>
      <c r="AD355" s="4"/>
      <c r="AE355" s="74"/>
      <c r="AF355" s="4"/>
      <c r="AG355" s="4"/>
      <c r="AH355" s="4"/>
      <c r="AI355" s="174"/>
      <c r="AJ355" s="174"/>
      <c r="AK355" s="174"/>
      <c r="AL355" s="174"/>
      <c r="AM355" s="174"/>
      <c r="AN355" s="174"/>
      <c r="AO355" s="174"/>
      <c r="AP355" s="174"/>
      <c r="AQ355" s="174"/>
      <c r="AR355" s="174"/>
      <c r="AS355" s="174"/>
      <c r="AT355" s="174"/>
      <c r="AU355" s="174"/>
      <c r="AV355" s="174"/>
      <c r="AW355" s="174"/>
      <c r="AX355" s="12"/>
      <c r="BC355" s="12"/>
      <c r="BH355" s="12"/>
      <c r="BM355" s="12"/>
      <c r="BR355" s="12"/>
      <c r="BS355" s="12"/>
      <c r="BT355" s="12"/>
      <c r="BU355" s="12"/>
      <c r="BV355" s="12"/>
      <c r="BW355" s="12"/>
      <c r="BX355" s="4"/>
      <c r="BY355" s="4"/>
      <c r="BZ355" s="4"/>
      <c r="CA355" s="4"/>
      <c r="CB355" s="4"/>
      <c r="CC355" s="4"/>
      <c r="CD355" s="4"/>
      <c r="CE355" s="4"/>
      <c r="CF355" s="4"/>
      <c r="CG355" s="4"/>
      <c r="CH355" s="4"/>
      <c r="CI355" s="13"/>
    </row>
    <row r="356" spans="1:87" ht="18" thickBot="1">
      <c r="AC356" s="492"/>
      <c r="AD356" s="121"/>
      <c r="AE356" s="488"/>
      <c r="AF356" s="121"/>
      <c r="AG356" s="121"/>
      <c r="AH356" s="121"/>
      <c r="AI356" s="226"/>
      <c r="AJ356" s="226"/>
      <c r="AK356" s="226"/>
      <c r="AL356" s="226"/>
      <c r="AM356" s="226"/>
      <c r="AN356" s="226"/>
      <c r="AO356" s="226"/>
      <c r="AP356" s="226"/>
      <c r="AQ356" s="226"/>
      <c r="AR356" s="226"/>
      <c r="AS356" s="226"/>
      <c r="AT356" s="226"/>
      <c r="AU356" s="226"/>
      <c r="AV356" s="226"/>
      <c r="AW356" s="226"/>
      <c r="AX356" s="122"/>
      <c r="AY356" s="121"/>
      <c r="AZ356" s="121"/>
      <c r="BA356" s="193"/>
      <c r="BB356" s="193"/>
      <c r="BC356" s="122"/>
      <c r="BD356" s="121"/>
      <c r="BE356" s="121"/>
      <c r="BF356" s="121"/>
      <c r="BG356" s="121"/>
      <c r="BH356" s="122"/>
      <c r="BI356" s="121"/>
      <c r="BJ356" s="121"/>
      <c r="BK356" s="121"/>
      <c r="BL356" s="121"/>
      <c r="BM356" s="122"/>
      <c r="BN356" s="121"/>
      <c r="BO356" s="121"/>
      <c r="BP356" s="121"/>
      <c r="BQ356" s="121"/>
      <c r="BR356" s="122"/>
      <c r="BS356" s="122"/>
      <c r="BT356" s="122"/>
      <c r="BU356" s="122"/>
      <c r="BV356" s="122"/>
      <c r="BW356" s="122"/>
      <c r="BX356" s="121"/>
      <c r="BY356" s="121"/>
      <c r="BZ356" s="121"/>
      <c r="CA356" s="121"/>
      <c r="CB356" s="121"/>
      <c r="CC356" s="121"/>
      <c r="CD356" s="121"/>
      <c r="CE356" s="121"/>
      <c r="CF356" s="121"/>
      <c r="CG356" s="121"/>
      <c r="CH356" s="121"/>
      <c r="CI356" s="123"/>
    </row>
    <row r="357" spans="1:87">
      <c r="BH357" s="12"/>
      <c r="BM357" s="12"/>
      <c r="BR357" s="12"/>
      <c r="BS357" s="12"/>
      <c r="BT357" s="12"/>
      <c r="BU357" s="12"/>
      <c r="BV357" s="12"/>
      <c r="BW357" s="12"/>
      <c r="BX357" s="4"/>
      <c r="BY357" s="4"/>
      <c r="BZ357" s="4"/>
      <c r="CA357" s="4"/>
      <c r="CB357" s="4"/>
      <c r="CC357" s="4"/>
    </row>
    <row r="358" spans="1:87">
      <c r="U358" s="188"/>
      <c r="V358" s="9"/>
      <c r="W358" s="1253" t="s">
        <v>46</v>
      </c>
      <c r="X358" s="1434"/>
      <c r="Y358" s="1431"/>
      <c r="Z358" s="1433"/>
    </row>
    <row r="359" spans="1:87">
      <c r="V359" s="9"/>
      <c r="W359" s="80" t="s">
        <v>34</v>
      </c>
      <c r="X359" s="29">
        <f t="shared" ref="X359:X364" si="228">(X16+X26+X36+X46+X56+X66+X76)-X5</f>
        <v>0</v>
      </c>
      <c r="Y359" s="80" t="s">
        <v>39</v>
      </c>
      <c r="Z359" s="29">
        <f>(Z16+Z26+Z36+Z46+Z56+Z66+Z76)-Z5</f>
        <v>0</v>
      </c>
    </row>
    <row r="360" spans="1:87">
      <c r="V360" s="9" t="s">
        <v>168</v>
      </c>
      <c r="W360" s="30" t="s">
        <v>35</v>
      </c>
      <c r="X360" s="29">
        <f t="shared" si="228"/>
        <v>0</v>
      </c>
      <c r="Y360" s="30" t="s">
        <v>40</v>
      </c>
      <c r="Z360" s="29">
        <f>(Z17+Z27+Z37+Z47+Z57+Z67+Z77)-Z6</f>
        <v>0</v>
      </c>
    </row>
    <row r="361" spans="1:87">
      <c r="V361" s="9"/>
      <c r="W361" s="30" t="s">
        <v>36</v>
      </c>
      <c r="X361" s="29">
        <f t="shared" si="228"/>
        <v>0</v>
      </c>
      <c r="Y361" s="30" t="s">
        <v>41</v>
      </c>
      <c r="Z361" s="29">
        <f>(Z18+Z28+Z38+Z48+Z58+Z68+Z78)-Z7</f>
        <v>0</v>
      </c>
    </row>
    <row r="362" spans="1:87">
      <c r="V362" s="9" t="s">
        <v>169</v>
      </c>
      <c r="W362" s="30" t="s">
        <v>43</v>
      </c>
      <c r="X362" s="29">
        <f t="shared" si="228"/>
        <v>0</v>
      </c>
      <c r="Y362" s="30" t="s">
        <v>42</v>
      </c>
      <c r="Z362" s="29">
        <f>(Z19+Z29+Z39+Z49+Z59+Z69+Z79)-Z8</f>
        <v>0</v>
      </c>
    </row>
    <row r="363" spans="1:87">
      <c r="V363" s="9"/>
      <c r="W363" s="30" t="s">
        <v>37</v>
      </c>
      <c r="X363" s="29">
        <f t="shared" si="228"/>
        <v>0</v>
      </c>
      <c r="Y363" s="1313" t="s">
        <v>44</v>
      </c>
      <c r="Z363" s="1506">
        <f>X359+X360+X361+X362+X363+X364+Z359+Z360+Z361+Z362</f>
        <v>0</v>
      </c>
    </row>
    <row r="364" spans="1:87">
      <c r="V364" s="9"/>
      <c r="W364" s="30" t="s">
        <v>38</v>
      </c>
      <c r="X364" s="29">
        <f t="shared" si="228"/>
        <v>0</v>
      </c>
      <c r="Y364" s="1422"/>
      <c r="Z364" s="1507"/>
    </row>
    <row r="365" spans="1:87">
      <c r="V365" s="9"/>
    </row>
    <row r="366" spans="1:87">
      <c r="U366" s="188"/>
      <c r="V366" s="9"/>
      <c r="W366" s="1253" t="s">
        <v>46</v>
      </c>
      <c r="X366" s="1434"/>
      <c r="Y366" s="1431"/>
      <c r="Z366" s="1433"/>
    </row>
    <row r="367" spans="1:87">
      <c r="V367" s="9"/>
      <c r="W367" s="80" t="s">
        <v>34</v>
      </c>
      <c r="X367" s="29">
        <f t="shared" ref="X367:X372" si="229">(X105+X115+X125+X135+X145+X155+X165)-X94</f>
        <v>0</v>
      </c>
      <c r="Y367" s="80" t="s">
        <v>39</v>
      </c>
      <c r="Z367" s="29">
        <f>(Z105+Z115+Z125+Z135+Z145+Z155+Z165)-Z94</f>
        <v>0</v>
      </c>
    </row>
    <row r="368" spans="1:87">
      <c r="V368" s="9" t="s">
        <v>170</v>
      </c>
      <c r="W368" s="30" t="s">
        <v>35</v>
      </c>
      <c r="X368" s="29">
        <f t="shared" si="229"/>
        <v>0</v>
      </c>
      <c r="Y368" s="30" t="s">
        <v>40</v>
      </c>
      <c r="Z368" s="29">
        <f>(Z106+Z116+Z126+Z136+Z146+Z156+Z166)-Z95</f>
        <v>0</v>
      </c>
    </row>
    <row r="369" spans="22:26">
      <c r="V369" s="9"/>
      <c r="W369" s="30" t="s">
        <v>36</v>
      </c>
      <c r="X369" s="29">
        <f t="shared" si="229"/>
        <v>0</v>
      </c>
      <c r="Y369" s="30" t="s">
        <v>41</v>
      </c>
      <c r="Z369" s="29">
        <f>(Z107+Z117+Z127+Z137+Z147+Z157+Z167)-Z96</f>
        <v>0</v>
      </c>
    </row>
    <row r="370" spans="22:26">
      <c r="V370" s="9" t="s">
        <v>171</v>
      </c>
      <c r="W370" s="30" t="s">
        <v>43</v>
      </c>
      <c r="X370" s="29">
        <f t="shared" si="229"/>
        <v>0</v>
      </c>
      <c r="Y370" s="30" t="s">
        <v>42</v>
      </c>
      <c r="Z370" s="29">
        <f>(Z108+Z118+Z128+Z138+Z148+Z158+Z168)-Z97</f>
        <v>0</v>
      </c>
    </row>
    <row r="371" spans="22:26">
      <c r="V371" s="9"/>
      <c r="W371" s="30" t="s">
        <v>37</v>
      </c>
      <c r="X371" s="29">
        <f t="shared" si="229"/>
        <v>0</v>
      </c>
      <c r="Y371" s="1313" t="s">
        <v>44</v>
      </c>
      <c r="Z371" s="1506">
        <f>X367+X368+X369+X370+X371+X372+Z367+Z368+Z369+Z370</f>
        <v>0</v>
      </c>
    </row>
    <row r="372" spans="22:26">
      <c r="V372" s="9"/>
      <c r="W372" s="30" t="s">
        <v>38</v>
      </c>
      <c r="X372" s="29">
        <f t="shared" si="229"/>
        <v>0</v>
      </c>
      <c r="Y372" s="1422"/>
      <c r="Z372" s="1507"/>
    </row>
    <row r="373" spans="22:26">
      <c r="V373" s="9"/>
      <c r="W373" s="1253" t="s">
        <v>46</v>
      </c>
      <c r="X373" s="1434"/>
      <c r="Y373" s="1431"/>
      <c r="Z373" s="1433"/>
    </row>
    <row r="374" spans="22:26">
      <c r="V374" s="9"/>
      <c r="W374" s="80" t="s">
        <v>34</v>
      </c>
      <c r="X374" s="29">
        <f t="shared" ref="X374:X379" si="230">(X282+X292+X302+X312+X322+X332+X342)-X271</f>
        <v>0</v>
      </c>
      <c r="Y374" s="80" t="s">
        <v>39</v>
      </c>
      <c r="Z374" s="29">
        <f>(Z282+Z292+Z302+Z312+Z322+Z332+Z342)-Z271</f>
        <v>0</v>
      </c>
    </row>
    <row r="375" spans="22:26">
      <c r="V375" s="9" t="s">
        <v>172</v>
      </c>
      <c r="W375" s="30" t="s">
        <v>35</v>
      </c>
      <c r="X375" s="29">
        <f t="shared" si="230"/>
        <v>0</v>
      </c>
      <c r="Y375" s="30" t="s">
        <v>40</v>
      </c>
      <c r="Z375" s="29">
        <f>(Z283+Z293+Z303+Z313+Z323+Z333+Z343)-Z272</f>
        <v>0</v>
      </c>
    </row>
    <row r="376" spans="22:26">
      <c r="V376" s="9"/>
      <c r="W376" s="30" t="s">
        <v>36</v>
      </c>
      <c r="X376" s="29">
        <f t="shared" si="230"/>
        <v>0</v>
      </c>
      <c r="Y376" s="30" t="s">
        <v>41</v>
      </c>
      <c r="Z376" s="29">
        <f>(Z284+Z294+Z304+Z314+Z324+Z334+Z344)-Z273</f>
        <v>0</v>
      </c>
    </row>
    <row r="377" spans="22:26">
      <c r="V377" s="9" t="s">
        <v>173</v>
      </c>
      <c r="W377" s="30" t="s">
        <v>43</v>
      </c>
      <c r="X377" s="29">
        <f t="shared" si="230"/>
        <v>0</v>
      </c>
      <c r="Y377" s="30" t="s">
        <v>42</v>
      </c>
      <c r="Z377" s="29">
        <f>(Z285+Z295+Z305+Z315+Z325+Z335+Z345)-Z274</f>
        <v>0</v>
      </c>
    </row>
    <row r="378" spans="22:26">
      <c r="V378" s="9"/>
      <c r="W378" s="30" t="s">
        <v>37</v>
      </c>
      <c r="X378" s="29">
        <f t="shared" si="230"/>
        <v>0</v>
      </c>
      <c r="Y378" s="1313" t="s">
        <v>44</v>
      </c>
      <c r="Z378" s="1506">
        <f>X374+X375+X376+X377+X378+X379+Z374+Z375+Z376+Z377</f>
        <v>0</v>
      </c>
    </row>
    <row r="379" spans="22:26">
      <c r="V379" s="9"/>
      <c r="W379" s="30" t="s">
        <v>38</v>
      </c>
      <c r="X379" s="29">
        <f t="shared" si="230"/>
        <v>0</v>
      </c>
      <c r="Y379" s="1422"/>
      <c r="Z379" s="1507"/>
    </row>
    <row r="381" spans="22:26">
      <c r="V381" s="1500" t="s">
        <v>83</v>
      </c>
      <c r="W381" s="1253" t="s">
        <v>46</v>
      </c>
      <c r="X381" s="1503"/>
      <c r="Y381" s="1431"/>
      <c r="Z381" s="1433"/>
    </row>
    <row r="382" spans="22:26">
      <c r="V382" s="1501"/>
      <c r="W382" s="80" t="s">
        <v>34</v>
      </c>
      <c r="X382" s="266">
        <f>Z386-(X383+X384+X385+X386+X387+Z382+Z383+Z384+Z385)</f>
        <v>2500</v>
      </c>
      <c r="Y382" s="80" t="s">
        <v>39</v>
      </c>
      <c r="Z382" s="266">
        <f>ROUNDDOWN($Z$386/10,-2)</f>
        <v>2100</v>
      </c>
    </row>
    <row r="383" spans="22:26">
      <c r="V383" s="1501"/>
      <c r="W383" s="30" t="s">
        <v>35</v>
      </c>
      <c r="X383" s="266">
        <f>ROUNDDOWN($Z$386/10,-2)</f>
        <v>2100</v>
      </c>
      <c r="Y383" s="30" t="s">
        <v>40</v>
      </c>
      <c r="Z383" s="266">
        <f>ROUNDDOWN($Z$386/10,-2)</f>
        <v>2100</v>
      </c>
    </row>
    <row r="384" spans="22:26">
      <c r="V384" s="1501"/>
      <c r="W384" s="30" t="s">
        <v>36</v>
      </c>
      <c r="X384" s="266">
        <f>ROUNDDOWN($Z$386/10,-2)</f>
        <v>2100</v>
      </c>
      <c r="Y384" s="30" t="s">
        <v>41</v>
      </c>
      <c r="Z384" s="266">
        <f>ROUNDDOWN($Z$386/10,-2)</f>
        <v>2100</v>
      </c>
    </row>
    <row r="385" spans="22:26">
      <c r="V385" s="1501"/>
      <c r="W385" s="30" t="s">
        <v>43</v>
      </c>
      <c r="X385" s="266">
        <f>ROUNDDOWN($Z$386/10,-2)</f>
        <v>2100</v>
      </c>
      <c r="Y385" s="30" t="s">
        <v>42</v>
      </c>
      <c r="Z385" s="266">
        <f>ROUNDDOWN($Z$386/10,-2)</f>
        <v>2100</v>
      </c>
    </row>
    <row r="386" spans="22:26">
      <c r="V386" s="1501"/>
      <c r="W386" s="30" t="s">
        <v>37</v>
      </c>
      <c r="X386" s="266">
        <f>ROUNDDOWN($Z$386/10,-2)</f>
        <v>2100</v>
      </c>
      <c r="Y386" s="1313" t="s">
        <v>44</v>
      </c>
      <c r="Z386" s="1504">
        <f>L87+L176+L353</f>
        <v>21400</v>
      </c>
    </row>
    <row r="387" spans="22:26">
      <c r="V387" s="1502"/>
      <c r="W387" s="30" t="s">
        <v>38</v>
      </c>
      <c r="X387" s="266">
        <f>ROUNDDOWN($Z$386/10,-2)</f>
        <v>2100</v>
      </c>
      <c r="Y387" s="1422"/>
      <c r="Z387" s="1505"/>
    </row>
  </sheetData>
  <mergeCells count="2109">
    <mergeCell ref="AF257:AF258"/>
    <mergeCell ref="F260:G260"/>
    <mergeCell ref="I260:J260"/>
    <mergeCell ref="K260:L260"/>
    <mergeCell ref="A264:D264"/>
    <mergeCell ref="H264:K264"/>
    <mergeCell ref="L264:R264"/>
    <mergeCell ref="AZ264:BB264"/>
    <mergeCell ref="BE264:BG264"/>
    <mergeCell ref="BJ264:BL264"/>
    <mergeCell ref="BO264:BQ264"/>
    <mergeCell ref="K265:Q265"/>
    <mergeCell ref="A257:A258"/>
    <mergeCell ref="D257:D258"/>
    <mergeCell ref="E257:E258"/>
    <mergeCell ref="G257:G258"/>
    <mergeCell ref="H257:H258"/>
    <mergeCell ref="I257:I258"/>
    <mergeCell ref="J257:J258"/>
    <mergeCell ref="M257:M258"/>
    <mergeCell ref="N257:N258"/>
    <mergeCell ref="O257:P258"/>
    <mergeCell ref="Q257:Q258"/>
    <mergeCell ref="R257:R258"/>
    <mergeCell ref="S257:S258"/>
    <mergeCell ref="T257:T258"/>
    <mergeCell ref="U257:U258"/>
    <mergeCell ref="V257:V258"/>
    <mergeCell ref="Y257:Y258"/>
    <mergeCell ref="Z257:Z258"/>
    <mergeCell ref="BP252:BQ252"/>
    <mergeCell ref="M253:S253"/>
    <mergeCell ref="A254:A255"/>
    <mergeCell ref="B254:B255"/>
    <mergeCell ref="C254:C255"/>
    <mergeCell ref="D254:D255"/>
    <mergeCell ref="E254:E255"/>
    <mergeCell ref="F254:F255"/>
    <mergeCell ref="G254:G255"/>
    <mergeCell ref="I254:I255"/>
    <mergeCell ref="J254:J255"/>
    <mergeCell ref="M254:M255"/>
    <mergeCell ref="N254:N255"/>
    <mergeCell ref="P254:Q255"/>
    <mergeCell ref="R254:R255"/>
    <mergeCell ref="S254:S255"/>
    <mergeCell ref="AF254:AF255"/>
    <mergeCell ref="I253:J253"/>
    <mergeCell ref="AF247:AF248"/>
    <mergeCell ref="F250:G250"/>
    <mergeCell ref="I250:J250"/>
    <mergeCell ref="K250:L250"/>
    <mergeCell ref="AO250:AR250"/>
    <mergeCell ref="AT250:AU250"/>
    <mergeCell ref="AY250:AZ250"/>
    <mergeCell ref="BD250:BE250"/>
    <mergeCell ref="BI250:BJ250"/>
    <mergeCell ref="BN250:BO250"/>
    <mergeCell ref="AP251:AR251"/>
    <mergeCell ref="AT251:AW251"/>
    <mergeCell ref="AZ251:BB251"/>
    <mergeCell ref="BD251:BG251"/>
    <mergeCell ref="BJ251:BL251"/>
    <mergeCell ref="B252:D252"/>
    <mergeCell ref="F252:H252"/>
    <mergeCell ref="I252:J252"/>
    <mergeCell ref="K252:S252"/>
    <mergeCell ref="U252:V252"/>
    <mergeCell ref="W252:Z252"/>
    <mergeCell ref="AO252:AP252"/>
    <mergeCell ref="AQ252:AR252"/>
    <mergeCell ref="AT252:AU252"/>
    <mergeCell ref="AV252:AW252"/>
    <mergeCell ref="AY252:AZ252"/>
    <mergeCell ref="BA252:BB252"/>
    <mergeCell ref="BD252:BE252"/>
    <mergeCell ref="BF252:BG252"/>
    <mergeCell ref="BI252:BJ252"/>
    <mergeCell ref="BN252:BO252"/>
    <mergeCell ref="Z247:Z248"/>
    <mergeCell ref="A247:A248"/>
    <mergeCell ref="D247:D248"/>
    <mergeCell ref="E247:E248"/>
    <mergeCell ref="G247:G248"/>
    <mergeCell ref="H247:H248"/>
    <mergeCell ref="I247:I248"/>
    <mergeCell ref="J247:J248"/>
    <mergeCell ref="M247:M248"/>
    <mergeCell ref="N247:N248"/>
    <mergeCell ref="O247:P248"/>
    <mergeCell ref="Q247:Q248"/>
    <mergeCell ref="R247:R248"/>
    <mergeCell ref="S247:S248"/>
    <mergeCell ref="T247:T248"/>
    <mergeCell ref="U247:U248"/>
    <mergeCell ref="V247:V248"/>
    <mergeCell ref="Y247:Y248"/>
    <mergeCell ref="BN242:BO242"/>
    <mergeCell ref="BP242:BQ242"/>
    <mergeCell ref="M243:S243"/>
    <mergeCell ref="A244:A245"/>
    <mergeCell ref="B244:B245"/>
    <mergeCell ref="C244:C245"/>
    <mergeCell ref="D244:D245"/>
    <mergeCell ref="E244:E245"/>
    <mergeCell ref="F244:F245"/>
    <mergeCell ref="G244:G245"/>
    <mergeCell ref="I244:I245"/>
    <mergeCell ref="J244:J245"/>
    <mergeCell ref="M244:M245"/>
    <mergeCell ref="N244:N245"/>
    <mergeCell ref="P244:Q245"/>
    <mergeCell ref="R244:R245"/>
    <mergeCell ref="S244:S245"/>
    <mergeCell ref="AF244:AF245"/>
    <mergeCell ref="I243:J243"/>
    <mergeCell ref="AF237:AF238"/>
    <mergeCell ref="F240:G240"/>
    <mergeCell ref="I240:J240"/>
    <mergeCell ref="K240:L240"/>
    <mergeCell ref="AO240:AR240"/>
    <mergeCell ref="AT240:AU240"/>
    <mergeCell ref="AP241:AR241"/>
    <mergeCell ref="AT241:AW241"/>
    <mergeCell ref="AZ241:BB241"/>
    <mergeCell ref="BD241:BG241"/>
    <mergeCell ref="BJ241:BL241"/>
    <mergeCell ref="B242:D242"/>
    <mergeCell ref="F242:H242"/>
    <mergeCell ref="I242:J242"/>
    <mergeCell ref="K242:S242"/>
    <mergeCell ref="U242:V242"/>
    <mergeCell ref="W242:Z242"/>
    <mergeCell ref="AO242:AP242"/>
    <mergeCell ref="AQ242:AR242"/>
    <mergeCell ref="AT242:AU242"/>
    <mergeCell ref="AV242:AW242"/>
    <mergeCell ref="AY242:AZ242"/>
    <mergeCell ref="BA242:BB242"/>
    <mergeCell ref="BD242:BE242"/>
    <mergeCell ref="BF242:BG242"/>
    <mergeCell ref="BI242:BJ242"/>
    <mergeCell ref="A237:A238"/>
    <mergeCell ref="D237:D238"/>
    <mergeCell ref="E237:E238"/>
    <mergeCell ref="G237:G238"/>
    <mergeCell ref="H237:H238"/>
    <mergeCell ref="I237:I238"/>
    <mergeCell ref="J237:J238"/>
    <mergeCell ref="M237:M238"/>
    <mergeCell ref="N237:N238"/>
    <mergeCell ref="O237:P238"/>
    <mergeCell ref="Q237:Q238"/>
    <mergeCell ref="R237:R238"/>
    <mergeCell ref="S237:S238"/>
    <mergeCell ref="T237:T238"/>
    <mergeCell ref="U237:U238"/>
    <mergeCell ref="V237:V238"/>
    <mergeCell ref="Y237:Y238"/>
    <mergeCell ref="BP232:BQ232"/>
    <mergeCell ref="M233:S233"/>
    <mergeCell ref="A234:A235"/>
    <mergeCell ref="B234:B235"/>
    <mergeCell ref="C234:C235"/>
    <mergeCell ref="D234:D235"/>
    <mergeCell ref="E234:E235"/>
    <mergeCell ref="F234:F235"/>
    <mergeCell ref="G234:G235"/>
    <mergeCell ref="I234:I235"/>
    <mergeCell ref="J234:J235"/>
    <mergeCell ref="M234:M235"/>
    <mergeCell ref="N234:N235"/>
    <mergeCell ref="P234:Q235"/>
    <mergeCell ref="R234:R235"/>
    <mergeCell ref="S234:S235"/>
    <mergeCell ref="AF234:AF235"/>
    <mergeCell ref="I233:J233"/>
    <mergeCell ref="BN230:BO230"/>
    <mergeCell ref="AP231:AR231"/>
    <mergeCell ref="AT231:AW231"/>
    <mergeCell ref="AZ231:BB231"/>
    <mergeCell ref="BD231:BG231"/>
    <mergeCell ref="BJ231:BL231"/>
    <mergeCell ref="B232:D232"/>
    <mergeCell ref="F232:H232"/>
    <mergeCell ref="I232:J232"/>
    <mergeCell ref="K232:S232"/>
    <mergeCell ref="U232:V232"/>
    <mergeCell ref="W232:Z232"/>
    <mergeCell ref="AO232:AP232"/>
    <mergeCell ref="AQ232:AR232"/>
    <mergeCell ref="AT232:AU232"/>
    <mergeCell ref="AV232:AW232"/>
    <mergeCell ref="AY232:AZ232"/>
    <mergeCell ref="BA232:BB232"/>
    <mergeCell ref="BD232:BE232"/>
    <mergeCell ref="BF232:BG232"/>
    <mergeCell ref="BI232:BJ232"/>
    <mergeCell ref="BN232:BO232"/>
    <mergeCell ref="I227:I228"/>
    <mergeCell ref="J227:J228"/>
    <mergeCell ref="M227:M228"/>
    <mergeCell ref="N227:N228"/>
    <mergeCell ref="O227:P228"/>
    <mergeCell ref="Q227:Q228"/>
    <mergeCell ref="R227:R228"/>
    <mergeCell ref="S227:S228"/>
    <mergeCell ref="T227:T228"/>
    <mergeCell ref="U227:U228"/>
    <mergeCell ref="V227:V228"/>
    <mergeCell ref="Y227:Y228"/>
    <mergeCell ref="AF227:AF228"/>
    <mergeCell ref="F230:G230"/>
    <mergeCell ref="I230:J230"/>
    <mergeCell ref="K230:L230"/>
    <mergeCell ref="AO230:AR230"/>
    <mergeCell ref="BP222:BQ222"/>
    <mergeCell ref="M223:S223"/>
    <mergeCell ref="A224:A225"/>
    <mergeCell ref="B224:B225"/>
    <mergeCell ref="C224:C225"/>
    <mergeCell ref="D224:D225"/>
    <mergeCell ref="E224:E225"/>
    <mergeCell ref="F224:F225"/>
    <mergeCell ref="G224:G225"/>
    <mergeCell ref="I224:I225"/>
    <mergeCell ref="J224:J225"/>
    <mergeCell ref="M224:M225"/>
    <mergeCell ref="N224:N225"/>
    <mergeCell ref="P224:Q225"/>
    <mergeCell ref="R224:R225"/>
    <mergeCell ref="S224:S225"/>
    <mergeCell ref="AF224:AF225"/>
    <mergeCell ref="I223:J223"/>
    <mergeCell ref="AF217:AF218"/>
    <mergeCell ref="F220:G220"/>
    <mergeCell ref="I220:J220"/>
    <mergeCell ref="K220:L220"/>
    <mergeCell ref="AO220:AR220"/>
    <mergeCell ref="AT220:AU220"/>
    <mergeCell ref="AY220:AZ220"/>
    <mergeCell ref="BD220:BE220"/>
    <mergeCell ref="BN220:BO220"/>
    <mergeCell ref="AP221:AR221"/>
    <mergeCell ref="AT221:AW221"/>
    <mergeCell ref="AZ221:BB221"/>
    <mergeCell ref="BD221:BG221"/>
    <mergeCell ref="BJ221:BL221"/>
    <mergeCell ref="B222:D222"/>
    <mergeCell ref="F222:H222"/>
    <mergeCell ref="I222:J222"/>
    <mergeCell ref="K222:S222"/>
    <mergeCell ref="U222:V222"/>
    <mergeCell ref="W222:Z222"/>
    <mergeCell ref="AO222:AP222"/>
    <mergeCell ref="AQ222:AR222"/>
    <mergeCell ref="AT222:AU222"/>
    <mergeCell ref="AV222:AW222"/>
    <mergeCell ref="AY222:AZ222"/>
    <mergeCell ref="BA222:BB222"/>
    <mergeCell ref="BD222:BE222"/>
    <mergeCell ref="BF222:BG222"/>
    <mergeCell ref="BI222:BJ222"/>
    <mergeCell ref="BN222:BO222"/>
    <mergeCell ref="BP212:BQ212"/>
    <mergeCell ref="M213:S213"/>
    <mergeCell ref="A214:A215"/>
    <mergeCell ref="B214:B215"/>
    <mergeCell ref="C214:C215"/>
    <mergeCell ref="D214:D215"/>
    <mergeCell ref="E214:E215"/>
    <mergeCell ref="F214:F215"/>
    <mergeCell ref="G214:G215"/>
    <mergeCell ref="I214:I215"/>
    <mergeCell ref="J214:J215"/>
    <mergeCell ref="M214:M215"/>
    <mergeCell ref="N214:N215"/>
    <mergeCell ref="P214:Q215"/>
    <mergeCell ref="R214:R215"/>
    <mergeCell ref="S214:S215"/>
    <mergeCell ref="AF214:AF215"/>
    <mergeCell ref="I213:J213"/>
    <mergeCell ref="F213:H213"/>
    <mergeCell ref="AP211:AR211"/>
    <mergeCell ref="AT211:AW211"/>
    <mergeCell ref="AZ211:BB211"/>
    <mergeCell ref="BD211:BG211"/>
    <mergeCell ref="BJ211:BL211"/>
    <mergeCell ref="B212:D212"/>
    <mergeCell ref="F212:H212"/>
    <mergeCell ref="I212:J212"/>
    <mergeCell ref="K212:S212"/>
    <mergeCell ref="U212:V212"/>
    <mergeCell ref="W212:Z212"/>
    <mergeCell ref="AO212:AP212"/>
    <mergeCell ref="AQ212:AR212"/>
    <mergeCell ref="AT212:AU212"/>
    <mergeCell ref="AV212:AW212"/>
    <mergeCell ref="AY212:AZ212"/>
    <mergeCell ref="BA212:BB212"/>
    <mergeCell ref="BD212:BE212"/>
    <mergeCell ref="BF212:BG212"/>
    <mergeCell ref="BI212:BJ212"/>
    <mergeCell ref="BP202:BQ202"/>
    <mergeCell ref="M203:S203"/>
    <mergeCell ref="AL203:AL204"/>
    <mergeCell ref="AM203:AM204"/>
    <mergeCell ref="A204:A205"/>
    <mergeCell ref="B204:B205"/>
    <mergeCell ref="C204:C205"/>
    <mergeCell ref="D204:D205"/>
    <mergeCell ref="E204:E205"/>
    <mergeCell ref="F204:F205"/>
    <mergeCell ref="G204:G205"/>
    <mergeCell ref="I204:I205"/>
    <mergeCell ref="J204:J205"/>
    <mergeCell ref="M204:M205"/>
    <mergeCell ref="N204:N205"/>
    <mergeCell ref="P204:Q205"/>
    <mergeCell ref="R204:R205"/>
    <mergeCell ref="S204:S205"/>
    <mergeCell ref="AF204:AF205"/>
    <mergeCell ref="I203:J203"/>
    <mergeCell ref="F203:H203"/>
    <mergeCell ref="AF194:AF195"/>
    <mergeCell ref="AJ191:AM192"/>
    <mergeCell ref="B192:D192"/>
    <mergeCell ref="F192:H192"/>
    <mergeCell ref="I192:J192"/>
    <mergeCell ref="K192:S192"/>
    <mergeCell ref="U192:V192"/>
    <mergeCell ref="W192:Z192"/>
    <mergeCell ref="V197:V198"/>
    <mergeCell ref="Y197:Y198"/>
    <mergeCell ref="BN200:BO200"/>
    <mergeCell ref="AP201:AR201"/>
    <mergeCell ref="AT201:AW201"/>
    <mergeCell ref="AZ201:BB201"/>
    <mergeCell ref="BD201:BG201"/>
    <mergeCell ref="BJ201:BL201"/>
    <mergeCell ref="B202:D202"/>
    <mergeCell ref="F202:H202"/>
    <mergeCell ref="I202:J202"/>
    <mergeCell ref="K202:S202"/>
    <mergeCell ref="U202:V202"/>
    <mergeCell ref="W202:Z202"/>
    <mergeCell ref="AO202:AP202"/>
    <mergeCell ref="AQ202:AR202"/>
    <mergeCell ref="AT202:AU202"/>
    <mergeCell ref="AV202:AW202"/>
    <mergeCell ref="AY202:AZ202"/>
    <mergeCell ref="BA202:BB202"/>
    <mergeCell ref="BD202:BE202"/>
    <mergeCell ref="BF202:BG202"/>
    <mergeCell ref="BI202:BJ202"/>
    <mergeCell ref="BN202:BO202"/>
    <mergeCell ref="Z186:Z187"/>
    <mergeCell ref="AY187:BA187"/>
    <mergeCell ref="BD191:BG191"/>
    <mergeCell ref="AY190:AZ190"/>
    <mergeCell ref="M188:M189"/>
    <mergeCell ref="N188:N189"/>
    <mergeCell ref="O188:P189"/>
    <mergeCell ref="Q188:Q189"/>
    <mergeCell ref="W188:X188"/>
    <mergeCell ref="Y188:Z188"/>
    <mergeCell ref="BP192:BQ192"/>
    <mergeCell ref="AP191:AR191"/>
    <mergeCell ref="AT191:AW191"/>
    <mergeCell ref="AZ191:BB191"/>
    <mergeCell ref="AO192:AP192"/>
    <mergeCell ref="AQ192:AR192"/>
    <mergeCell ref="AT192:AU192"/>
    <mergeCell ref="AV192:AW192"/>
    <mergeCell ref="AY192:AZ192"/>
    <mergeCell ref="BP104:BQ104"/>
    <mergeCell ref="BN104:BO104"/>
    <mergeCell ref="BN142:BO142"/>
    <mergeCell ref="BP134:BQ134"/>
    <mergeCell ref="BP154:BQ154"/>
    <mergeCell ref="BP114:BQ114"/>
    <mergeCell ref="BF164:BG164"/>
    <mergeCell ref="BN132:BO132"/>
    <mergeCell ref="BD133:BG133"/>
    <mergeCell ref="BF154:BG154"/>
    <mergeCell ref="BJ153:BL153"/>
    <mergeCell ref="BI162:BJ162"/>
    <mergeCell ref="BD163:BG163"/>
    <mergeCell ref="BI134:BJ134"/>
    <mergeCell ref="BN144:BO144"/>
    <mergeCell ref="BP144:BQ144"/>
    <mergeCell ref="BD144:BE144"/>
    <mergeCell ref="BP124:BQ124"/>
    <mergeCell ref="BI124:BJ124"/>
    <mergeCell ref="BD114:BE114"/>
    <mergeCell ref="BD124:BE124"/>
    <mergeCell ref="BD132:BE132"/>
    <mergeCell ref="BI132:BJ132"/>
    <mergeCell ref="BJ123:BL123"/>
    <mergeCell ref="BI122:BJ122"/>
    <mergeCell ref="BN122:BO122"/>
    <mergeCell ref="BN114:BO114"/>
    <mergeCell ref="BI114:BJ114"/>
    <mergeCell ref="BD123:BG123"/>
    <mergeCell ref="BJ113:BL113"/>
    <mergeCell ref="AF159:AF160"/>
    <mergeCell ref="V336:V337"/>
    <mergeCell ref="K329:L329"/>
    <mergeCell ref="M313:M314"/>
    <mergeCell ref="N313:N314"/>
    <mergeCell ref="L176:R176"/>
    <mergeCell ref="K162:L162"/>
    <mergeCell ref="I166:I167"/>
    <mergeCell ref="J166:J167"/>
    <mergeCell ref="G296:G297"/>
    <mergeCell ref="U164:V164"/>
    <mergeCell ref="Y275:Y276"/>
    <mergeCell ref="Z275:Z276"/>
    <mergeCell ref="U159:U160"/>
    <mergeCell ref="T280:Z280"/>
    <mergeCell ref="Z217:Z218"/>
    <mergeCell ref="Z227:Z228"/>
    <mergeCell ref="Z237:Z238"/>
    <mergeCell ref="H169:H170"/>
    <mergeCell ref="F172:G172"/>
    <mergeCell ref="I169:I170"/>
    <mergeCell ref="J169:J170"/>
    <mergeCell ref="I164:J164"/>
    <mergeCell ref="S197:S198"/>
    <mergeCell ref="O296:P297"/>
    <mergeCell ref="K299:L299"/>
    <mergeCell ref="E185:G186"/>
    <mergeCell ref="H185:H186"/>
    <mergeCell ref="J185:J186"/>
    <mergeCell ref="S166:S167"/>
    <mergeCell ref="V169:V170"/>
    <mergeCell ref="V159:V160"/>
    <mergeCell ref="K354:Q354"/>
    <mergeCell ref="K177:Q177"/>
    <mergeCell ref="W180:Z181"/>
    <mergeCell ref="AG181:AG182"/>
    <mergeCell ref="Z197:Z198"/>
    <mergeCell ref="AF197:AF198"/>
    <mergeCell ref="T191:Z191"/>
    <mergeCell ref="A178:W178"/>
    <mergeCell ref="X178:Z178"/>
    <mergeCell ref="AL197:AL198"/>
    <mergeCell ref="AM197:AM198"/>
    <mergeCell ref="Z207:Z208"/>
    <mergeCell ref="AF207:AF208"/>
    <mergeCell ref="I210:J210"/>
    <mergeCell ref="A188:B189"/>
    <mergeCell ref="C188:C189"/>
    <mergeCell ref="D286:D287"/>
    <mergeCell ref="B281:D281"/>
    <mergeCell ref="E182:F182"/>
    <mergeCell ref="F200:G200"/>
    <mergeCell ref="F210:G210"/>
    <mergeCell ref="K210:L210"/>
    <mergeCell ref="I299:J299"/>
    <mergeCell ref="I289:J289"/>
    <mergeCell ref="J296:J297"/>
    <mergeCell ref="J293:J294"/>
    <mergeCell ref="J286:J287"/>
    <mergeCell ref="A303:A304"/>
    <mergeCell ref="B303:B304"/>
    <mergeCell ref="AG183:AG184"/>
    <mergeCell ref="A185:B186"/>
    <mergeCell ref="C185:C186"/>
    <mergeCell ref="F293:F294"/>
    <mergeCell ref="M293:M294"/>
    <mergeCell ref="A179:C179"/>
    <mergeCell ref="A180:C181"/>
    <mergeCell ref="N296:N297"/>
    <mergeCell ref="Q296:Q297"/>
    <mergeCell ref="D159:D160"/>
    <mergeCell ref="W164:Z164"/>
    <mergeCell ref="Y277:Z277"/>
    <mergeCell ref="Y159:Y160"/>
    <mergeCell ref="Z159:Z160"/>
    <mergeCell ref="W277:X277"/>
    <mergeCell ref="S159:S160"/>
    <mergeCell ref="F162:G162"/>
    <mergeCell ref="U169:U170"/>
    <mergeCell ref="K199:P199"/>
    <mergeCell ref="I200:J200"/>
    <mergeCell ref="K200:L200"/>
    <mergeCell ref="I293:I294"/>
    <mergeCell ref="A169:A170"/>
    <mergeCell ref="D169:D170"/>
    <mergeCell ref="E166:E167"/>
    <mergeCell ref="E159:E160"/>
    <mergeCell ref="G159:G160"/>
    <mergeCell ref="G169:G170"/>
    <mergeCell ref="F166:F167"/>
    <mergeCell ref="M165:S165"/>
    <mergeCell ref="S169:S170"/>
    <mergeCell ref="T169:T170"/>
    <mergeCell ref="M166:M167"/>
    <mergeCell ref="N166:N167"/>
    <mergeCell ref="P166:Q167"/>
    <mergeCell ref="A293:A294"/>
    <mergeCell ref="B293:B294"/>
    <mergeCell ref="C293:C294"/>
    <mergeCell ref="H296:H297"/>
    <mergeCell ref="A286:A287"/>
    <mergeCell ref="A283:A284"/>
    <mergeCell ref="D293:D294"/>
    <mergeCell ref="B291:D291"/>
    <mergeCell ref="F291:H291"/>
    <mergeCell ref="I291:J291"/>
    <mergeCell ref="H176:K176"/>
    <mergeCell ref="S293:S294"/>
    <mergeCell ref="M303:M304"/>
    <mergeCell ref="M302:S302"/>
    <mergeCell ref="A197:A198"/>
    <mergeCell ref="D197:D198"/>
    <mergeCell ref="E197:E198"/>
    <mergeCell ref="G197:G198"/>
    <mergeCell ref="H197:H198"/>
    <mergeCell ref="M185:M186"/>
    <mergeCell ref="N185:N186"/>
    <mergeCell ref="O185:P186"/>
    <mergeCell ref="Q185:Q186"/>
    <mergeCell ref="R185:R186"/>
    <mergeCell ref="S185:S186"/>
    <mergeCell ref="M193:S193"/>
    <mergeCell ref="A194:A195"/>
    <mergeCell ref="B194:B195"/>
    <mergeCell ref="M217:M218"/>
    <mergeCell ref="N217:N218"/>
    <mergeCell ref="O217:P218"/>
    <mergeCell ref="Q217:Q218"/>
    <mergeCell ref="J313:J314"/>
    <mergeCell ref="D166:D167"/>
    <mergeCell ref="I172:J172"/>
    <mergeCell ref="E169:E170"/>
    <mergeCell ref="G166:G167"/>
    <mergeCell ref="F292:H292"/>
    <mergeCell ref="AG272:AG273"/>
    <mergeCell ref="X267:Z267"/>
    <mergeCell ref="W269:Z270"/>
    <mergeCell ref="AJ280:AM281"/>
    <mergeCell ref="W366:X366"/>
    <mergeCell ref="I339:J339"/>
    <mergeCell ref="K309:L309"/>
    <mergeCell ref="F339:G339"/>
    <mergeCell ref="F309:G309"/>
    <mergeCell ref="H336:H337"/>
    <mergeCell ref="I319:J319"/>
    <mergeCell ref="K319:L319"/>
    <mergeCell ref="J333:J334"/>
    <mergeCell ref="F313:F314"/>
    <mergeCell ref="G313:G314"/>
    <mergeCell ref="N323:N324"/>
    <mergeCell ref="P323:Q324"/>
    <mergeCell ref="R323:R324"/>
    <mergeCell ref="I286:I287"/>
    <mergeCell ref="F321:H321"/>
    <mergeCell ref="Y366:Z366"/>
    <mergeCell ref="Z296:Z297"/>
    <mergeCell ref="W291:Z291"/>
    <mergeCell ref="W301:Z301"/>
    <mergeCell ref="Z346:Z347"/>
    <mergeCell ref="AF169:AF170"/>
    <mergeCell ref="A159:A160"/>
    <mergeCell ref="M156:M157"/>
    <mergeCell ref="N156:N157"/>
    <mergeCell ref="F223:H223"/>
    <mergeCell ref="F233:H233"/>
    <mergeCell ref="F243:H243"/>
    <mergeCell ref="F253:H253"/>
    <mergeCell ref="F282:H282"/>
    <mergeCell ref="C283:C284"/>
    <mergeCell ref="D283:D284"/>
    <mergeCell ref="B154:D154"/>
    <mergeCell ref="F154:H154"/>
    <mergeCell ref="I154:J154"/>
    <mergeCell ref="B164:D164"/>
    <mergeCell ref="F164:H164"/>
    <mergeCell ref="B156:B157"/>
    <mergeCell ref="C156:C157"/>
    <mergeCell ref="B283:B284"/>
    <mergeCell ref="N159:N160"/>
    <mergeCell ref="N169:N170"/>
    <mergeCell ref="M159:M160"/>
    <mergeCell ref="J159:J160"/>
    <mergeCell ref="I155:J155"/>
    <mergeCell ref="I165:J165"/>
    <mergeCell ref="E207:E208"/>
    <mergeCell ref="G207:G208"/>
    <mergeCell ref="H207:H208"/>
    <mergeCell ref="I207:I208"/>
    <mergeCell ref="J207:J208"/>
    <mergeCell ref="M207:M208"/>
    <mergeCell ref="E227:E228"/>
    <mergeCell ref="G227:G228"/>
    <mergeCell ref="C194:C195"/>
    <mergeCell ref="D194:D195"/>
    <mergeCell ref="E194:E195"/>
    <mergeCell ref="F194:F195"/>
    <mergeCell ref="G194:G195"/>
    <mergeCell ref="I194:I195"/>
    <mergeCell ref="J194:J195"/>
    <mergeCell ref="M194:M195"/>
    <mergeCell ref="N194:N195"/>
    <mergeCell ref="I281:J281"/>
    <mergeCell ref="I283:I284"/>
    <mergeCell ref="A267:W267"/>
    <mergeCell ref="M274:M275"/>
    <mergeCell ref="A268:C268"/>
    <mergeCell ref="H277:H278"/>
    <mergeCell ref="F281:H281"/>
    <mergeCell ref="D268:F268"/>
    <mergeCell ref="E271:F271"/>
    <mergeCell ref="A272:V272"/>
    <mergeCell ref="J274:J275"/>
    <mergeCell ref="P283:Q284"/>
    <mergeCell ref="M282:S282"/>
    <mergeCell ref="U199:Y199"/>
    <mergeCell ref="V207:V208"/>
    <mergeCell ref="Y207:Y208"/>
    <mergeCell ref="R217:R218"/>
    <mergeCell ref="S217:S218"/>
    <mergeCell ref="T217:T218"/>
    <mergeCell ref="U217:U218"/>
    <mergeCell ref="V217:V218"/>
    <mergeCell ref="Y217:Y218"/>
    <mergeCell ref="H227:H228"/>
    <mergeCell ref="O207:P208"/>
    <mergeCell ref="Q207:Q208"/>
    <mergeCell ref="R207:R208"/>
    <mergeCell ref="S207:S208"/>
    <mergeCell ref="T207:T208"/>
    <mergeCell ref="U207:U208"/>
    <mergeCell ref="J156:J157"/>
    <mergeCell ref="M146:M147"/>
    <mergeCell ref="I146:I147"/>
    <mergeCell ref="S146:S147"/>
    <mergeCell ref="D277:D278"/>
    <mergeCell ref="D274:D275"/>
    <mergeCell ref="D156:D157"/>
    <mergeCell ref="E156:E157"/>
    <mergeCell ref="F156:F157"/>
    <mergeCell ref="C277:C278"/>
    <mergeCell ref="C274:C275"/>
    <mergeCell ref="I156:I157"/>
    <mergeCell ref="I197:I198"/>
    <mergeCell ref="J197:J198"/>
    <mergeCell ref="M197:M198"/>
    <mergeCell ref="N197:N198"/>
    <mergeCell ref="O197:P198"/>
    <mergeCell ref="Q197:Q198"/>
    <mergeCell ref="R197:R198"/>
    <mergeCell ref="J149:J150"/>
    <mergeCell ref="O169:P170"/>
    <mergeCell ref="C166:C167"/>
    <mergeCell ref="M169:M170"/>
    <mergeCell ref="K152:L152"/>
    <mergeCell ref="R149:R150"/>
    <mergeCell ref="O149:P150"/>
    <mergeCell ref="A146:A147"/>
    <mergeCell ref="B146:B147"/>
    <mergeCell ref="C146:C147"/>
    <mergeCell ref="D146:D147"/>
    <mergeCell ref="U139:U140"/>
    <mergeCell ref="F142:G142"/>
    <mergeCell ref="I142:J142"/>
    <mergeCell ref="K142:L142"/>
    <mergeCell ref="W154:Z154"/>
    <mergeCell ref="M145:S145"/>
    <mergeCell ref="S274:S275"/>
    <mergeCell ref="Q274:Q275"/>
    <mergeCell ref="R274:R275"/>
    <mergeCell ref="R159:R160"/>
    <mergeCell ref="K164:S164"/>
    <mergeCell ref="I159:I160"/>
    <mergeCell ref="I162:J162"/>
    <mergeCell ref="H159:H160"/>
    <mergeCell ref="A176:D176"/>
    <mergeCell ref="G146:G147"/>
    <mergeCell ref="G149:G150"/>
    <mergeCell ref="I152:J152"/>
    <mergeCell ref="H149:H150"/>
    <mergeCell ref="I149:I150"/>
    <mergeCell ref="A274:B275"/>
    <mergeCell ref="T149:T150"/>
    <mergeCell ref="U149:U150"/>
    <mergeCell ref="S149:S150"/>
    <mergeCell ref="P194:Q195"/>
    <mergeCell ref="R194:R195"/>
    <mergeCell ref="S194:S195"/>
    <mergeCell ref="N207:N208"/>
    <mergeCell ref="N129:N130"/>
    <mergeCell ref="T197:T198"/>
    <mergeCell ref="U144:V144"/>
    <mergeCell ref="W144:Z144"/>
    <mergeCell ref="M139:M140"/>
    <mergeCell ref="S139:S140"/>
    <mergeCell ref="Q139:Q140"/>
    <mergeCell ref="R139:R140"/>
    <mergeCell ref="T139:T140"/>
    <mergeCell ref="F144:H144"/>
    <mergeCell ref="I144:J144"/>
    <mergeCell ref="K144:S144"/>
    <mergeCell ref="G139:G140"/>
    <mergeCell ref="O139:P140"/>
    <mergeCell ref="H139:H140"/>
    <mergeCell ref="Z169:Z170"/>
    <mergeCell ref="G156:G157"/>
    <mergeCell ref="U154:V154"/>
    <mergeCell ref="N149:N150"/>
    <mergeCell ref="M149:M150"/>
    <mergeCell ref="Q149:Q150"/>
    <mergeCell ref="P156:Q157"/>
    <mergeCell ref="R146:R147"/>
    <mergeCell ref="N146:N147"/>
    <mergeCell ref="J146:J147"/>
    <mergeCell ref="R166:R167"/>
    <mergeCell ref="T159:T160"/>
    <mergeCell ref="Q159:Q160"/>
    <mergeCell ref="Q169:Q170"/>
    <mergeCell ref="R169:R170"/>
    <mergeCell ref="O159:P160"/>
    <mergeCell ref="Y186:Y187"/>
    <mergeCell ref="N139:N140"/>
    <mergeCell ref="I139:I140"/>
    <mergeCell ref="E139:E140"/>
    <mergeCell ref="AF119:AF120"/>
    <mergeCell ref="S136:S137"/>
    <mergeCell ref="I136:I137"/>
    <mergeCell ref="N136:N137"/>
    <mergeCell ref="P136:Q137"/>
    <mergeCell ref="R136:R137"/>
    <mergeCell ref="J136:J137"/>
    <mergeCell ref="M136:M137"/>
    <mergeCell ref="T119:T120"/>
    <mergeCell ref="V119:V120"/>
    <mergeCell ref="U119:U120"/>
    <mergeCell ref="AF136:AF137"/>
    <mergeCell ref="A136:A137"/>
    <mergeCell ref="B136:B137"/>
    <mergeCell ref="C136:C137"/>
    <mergeCell ref="D136:D137"/>
    <mergeCell ref="A139:A140"/>
    <mergeCell ref="D139:D140"/>
    <mergeCell ref="W134:Z134"/>
    <mergeCell ref="M129:M130"/>
    <mergeCell ref="V129:V130"/>
    <mergeCell ref="T129:T130"/>
    <mergeCell ref="U129:U130"/>
    <mergeCell ref="S129:S130"/>
    <mergeCell ref="K132:L132"/>
    <mergeCell ref="B134:D134"/>
    <mergeCell ref="F134:H134"/>
    <mergeCell ref="I134:J134"/>
    <mergeCell ref="K134:S134"/>
    <mergeCell ref="M119:M120"/>
    <mergeCell ref="N119:N120"/>
    <mergeCell ref="O119:P120"/>
    <mergeCell ref="A126:A127"/>
    <mergeCell ref="K122:L122"/>
    <mergeCell ref="S119:S120"/>
    <mergeCell ref="R119:R120"/>
    <mergeCell ref="B126:B127"/>
    <mergeCell ref="C126:C127"/>
    <mergeCell ref="D126:D127"/>
    <mergeCell ref="E126:E127"/>
    <mergeCell ref="F126:F127"/>
    <mergeCell ref="S126:S127"/>
    <mergeCell ref="R126:R127"/>
    <mergeCell ref="B124:D124"/>
    <mergeCell ref="Q119:Q120"/>
    <mergeCell ref="M125:S125"/>
    <mergeCell ref="G126:G127"/>
    <mergeCell ref="I126:I127"/>
    <mergeCell ref="J126:J127"/>
    <mergeCell ref="Y119:Y120"/>
    <mergeCell ref="I336:I337"/>
    <mergeCell ref="S323:S324"/>
    <mergeCell ref="W100:X100"/>
    <mergeCell ref="Y100:Z100"/>
    <mergeCell ref="Y336:Y337"/>
    <mergeCell ref="Z336:Z337"/>
    <mergeCell ref="Y149:Y150"/>
    <mergeCell ref="Z149:Z150"/>
    <mergeCell ref="U124:V124"/>
    <mergeCell ref="Z129:Z130"/>
    <mergeCell ref="U134:V134"/>
    <mergeCell ref="Z109:Z110"/>
    <mergeCell ref="T109:T110"/>
    <mergeCell ref="T296:T297"/>
    <mergeCell ref="U296:U297"/>
    <mergeCell ref="T306:T307"/>
    <mergeCell ref="O129:P130"/>
    <mergeCell ref="Q129:Q130"/>
    <mergeCell ref="R129:R130"/>
    <mergeCell ref="J129:J130"/>
    <mergeCell ref="K172:L172"/>
    <mergeCell ref="O274:P275"/>
    <mergeCell ref="M155:S155"/>
    <mergeCell ref="W104:Z104"/>
    <mergeCell ref="U104:V104"/>
    <mergeCell ref="T103:Z103"/>
    <mergeCell ref="A183:U183"/>
    <mergeCell ref="U197:U198"/>
    <mergeCell ref="A207:A208"/>
    <mergeCell ref="D207:D208"/>
    <mergeCell ref="A119:A120"/>
    <mergeCell ref="M105:S105"/>
    <mergeCell ref="M106:M107"/>
    <mergeCell ref="N106:N107"/>
    <mergeCell ref="I115:J115"/>
    <mergeCell ref="G129:G130"/>
    <mergeCell ref="H129:H130"/>
    <mergeCell ref="Y129:Y130"/>
    <mergeCell ref="F299:G299"/>
    <mergeCell ref="F289:G289"/>
    <mergeCell ref="F106:F107"/>
    <mergeCell ref="G106:G107"/>
    <mergeCell ref="E274:G275"/>
    <mergeCell ref="E283:E284"/>
    <mergeCell ref="J283:J284"/>
    <mergeCell ref="J277:J278"/>
    <mergeCell ref="N116:N117"/>
    <mergeCell ref="I296:I297"/>
    <mergeCell ref="M135:S135"/>
    <mergeCell ref="F125:H125"/>
    <mergeCell ref="F135:H135"/>
    <mergeCell ref="F145:H145"/>
    <mergeCell ref="F155:H155"/>
    <mergeCell ref="F165:H165"/>
    <mergeCell ref="F124:H124"/>
    <mergeCell ref="I124:J124"/>
    <mergeCell ref="K124:S124"/>
    <mergeCell ref="N126:N127"/>
    <mergeCell ref="P126:Q127"/>
    <mergeCell ref="M126:M127"/>
    <mergeCell ref="I129:I130"/>
    <mergeCell ref="P146:Q147"/>
    <mergeCell ref="P116:Q117"/>
    <mergeCell ref="M115:S115"/>
    <mergeCell ref="I116:I117"/>
    <mergeCell ref="K112:L112"/>
    <mergeCell ref="M116:M117"/>
    <mergeCell ref="Y109:Y110"/>
    <mergeCell ref="U109:U110"/>
    <mergeCell ref="A116:A117"/>
    <mergeCell ref="B116:B117"/>
    <mergeCell ref="A92:C93"/>
    <mergeCell ref="E94:F94"/>
    <mergeCell ref="N100:N101"/>
    <mergeCell ref="O100:P101"/>
    <mergeCell ref="I106:I107"/>
    <mergeCell ref="J109:J110"/>
    <mergeCell ref="K114:S114"/>
    <mergeCell ref="F116:F117"/>
    <mergeCell ref="G116:G117"/>
    <mergeCell ref="A109:A110"/>
    <mergeCell ref="S109:S110"/>
    <mergeCell ref="Q109:Q110"/>
    <mergeCell ref="D109:D110"/>
    <mergeCell ref="E109:E110"/>
    <mergeCell ref="G109:G110"/>
    <mergeCell ref="O109:P110"/>
    <mergeCell ref="H109:H110"/>
    <mergeCell ref="D100:D101"/>
    <mergeCell ref="B104:D104"/>
    <mergeCell ref="Q100:Q101"/>
    <mergeCell ref="A100:B101"/>
    <mergeCell ref="R116:R117"/>
    <mergeCell ref="S116:S117"/>
    <mergeCell ref="I104:J104"/>
    <mergeCell ref="Y20:Y21"/>
    <mergeCell ref="Z20:Z21"/>
    <mergeCell ref="Y80:Y81"/>
    <mergeCell ref="Z30:Z31"/>
    <mergeCell ref="Y40:Y41"/>
    <mergeCell ref="W75:Z75"/>
    <mergeCell ref="A106:A107"/>
    <mergeCell ref="B106:B107"/>
    <mergeCell ref="F45:H45"/>
    <mergeCell ref="G67:G68"/>
    <mergeCell ref="F65:H65"/>
    <mergeCell ref="B17:B18"/>
    <mergeCell ref="Z60:Z61"/>
    <mergeCell ref="Y60:Y61"/>
    <mergeCell ref="C17:C18"/>
    <mergeCell ref="D17:D18"/>
    <mergeCell ref="C27:C28"/>
    <mergeCell ref="D27:D28"/>
    <mergeCell ref="D20:D21"/>
    <mergeCell ref="A17:A18"/>
    <mergeCell ref="K104:S104"/>
    <mergeCell ref="C106:C107"/>
    <mergeCell ref="D106:D107"/>
    <mergeCell ref="Z98:Z99"/>
    <mergeCell ref="W92:Z93"/>
    <mergeCell ref="Y70:Y71"/>
    <mergeCell ref="I30:I31"/>
    <mergeCell ref="K43:L43"/>
    <mergeCell ref="D97:D98"/>
    <mergeCell ref="E97:G98"/>
    <mergeCell ref="A90:W90"/>
    <mergeCell ref="D91:F91"/>
    <mergeCell ref="F283:F284"/>
    <mergeCell ref="G283:G284"/>
    <mergeCell ref="F112:G112"/>
    <mergeCell ref="J326:J327"/>
    <mergeCell ref="N336:N337"/>
    <mergeCell ref="N316:N317"/>
    <mergeCell ref="F319:G319"/>
    <mergeCell ref="H316:H317"/>
    <mergeCell ref="V109:V110"/>
    <mergeCell ref="F146:F147"/>
    <mergeCell ref="G286:G287"/>
    <mergeCell ref="F75:H75"/>
    <mergeCell ref="G293:G294"/>
    <mergeCell ref="A95:U95"/>
    <mergeCell ref="N274:N275"/>
    <mergeCell ref="A277:B278"/>
    <mergeCell ref="E293:E294"/>
    <mergeCell ref="I112:J112"/>
    <mergeCell ref="H97:H98"/>
    <mergeCell ref="E106:E107"/>
    <mergeCell ref="E100:G101"/>
    <mergeCell ref="M100:M101"/>
    <mergeCell ref="S106:S107"/>
    <mergeCell ref="N109:N110"/>
    <mergeCell ref="F104:H104"/>
    <mergeCell ref="E316:E317"/>
    <mergeCell ref="G316:G317"/>
    <mergeCell ref="M316:M317"/>
    <mergeCell ref="A129:A130"/>
    <mergeCell ref="A313:A314"/>
    <mergeCell ref="B313:B314"/>
    <mergeCell ref="H87:K87"/>
    <mergeCell ref="B301:D301"/>
    <mergeCell ref="F301:H301"/>
    <mergeCell ref="I301:J301"/>
    <mergeCell ref="K301:S301"/>
    <mergeCell ref="N303:N304"/>
    <mergeCell ref="C333:C334"/>
    <mergeCell ref="D333:D334"/>
    <mergeCell ref="M333:M334"/>
    <mergeCell ref="P333:Q334"/>
    <mergeCell ref="S343:S344"/>
    <mergeCell ref="I333:I334"/>
    <mergeCell ref="A326:A327"/>
    <mergeCell ref="K339:L339"/>
    <mergeCell ref="J323:J324"/>
    <mergeCell ref="F302:H302"/>
    <mergeCell ref="F312:H312"/>
    <mergeCell ref="E343:E344"/>
    <mergeCell ref="I326:I327"/>
    <mergeCell ref="I323:I324"/>
    <mergeCell ref="I309:J309"/>
    <mergeCell ref="I316:I317"/>
    <mergeCell ref="M326:M327"/>
    <mergeCell ref="N326:N327"/>
    <mergeCell ref="Q326:Q327"/>
    <mergeCell ref="J316:J317"/>
    <mergeCell ref="I321:J321"/>
    <mergeCell ref="C303:C304"/>
    <mergeCell ref="D303:D304"/>
    <mergeCell ref="I303:I304"/>
    <mergeCell ref="O336:P337"/>
    <mergeCell ref="M336:M337"/>
    <mergeCell ref="M332:S332"/>
    <mergeCell ref="A296:A297"/>
    <mergeCell ref="D296:D297"/>
    <mergeCell ref="E296:E297"/>
    <mergeCell ref="N293:N294"/>
    <mergeCell ref="P293:Q294"/>
    <mergeCell ref="R156:R157"/>
    <mergeCell ref="S156:S157"/>
    <mergeCell ref="E286:E287"/>
    <mergeCell ref="H286:H287"/>
    <mergeCell ref="E277:G278"/>
    <mergeCell ref="F152:G152"/>
    <mergeCell ref="U114:V114"/>
    <mergeCell ref="F341:H341"/>
    <mergeCell ref="I341:J341"/>
    <mergeCell ref="B323:B324"/>
    <mergeCell ref="C323:C324"/>
    <mergeCell ref="A323:A324"/>
    <mergeCell ref="E313:E314"/>
    <mergeCell ref="P303:Q304"/>
    <mergeCell ref="E303:E304"/>
    <mergeCell ref="F303:F304"/>
    <mergeCell ref="G303:G304"/>
    <mergeCell ref="I313:I314"/>
    <mergeCell ref="V149:V150"/>
    <mergeCell ref="K154:S154"/>
    <mergeCell ref="M296:M297"/>
    <mergeCell ref="S296:S297"/>
    <mergeCell ref="R296:R297"/>
    <mergeCell ref="K289:L289"/>
    <mergeCell ref="A316:A317"/>
    <mergeCell ref="D316:D317"/>
    <mergeCell ref="M292:S292"/>
    <mergeCell ref="A353:D353"/>
    <mergeCell ref="H353:K353"/>
    <mergeCell ref="D343:D344"/>
    <mergeCell ref="C343:C344"/>
    <mergeCell ref="A346:A347"/>
    <mergeCell ref="D346:D347"/>
    <mergeCell ref="G343:G344"/>
    <mergeCell ref="A343:A344"/>
    <mergeCell ref="B343:B344"/>
    <mergeCell ref="J343:J344"/>
    <mergeCell ref="T346:T347"/>
    <mergeCell ref="I343:I344"/>
    <mergeCell ref="A336:A337"/>
    <mergeCell ref="D336:D337"/>
    <mergeCell ref="E336:E337"/>
    <mergeCell ref="G336:G337"/>
    <mergeCell ref="A333:A334"/>
    <mergeCell ref="B333:B334"/>
    <mergeCell ref="J336:J337"/>
    <mergeCell ref="E346:E347"/>
    <mergeCell ref="G346:G347"/>
    <mergeCell ref="H346:H347"/>
    <mergeCell ref="I346:I347"/>
    <mergeCell ref="F343:F344"/>
    <mergeCell ref="F349:G349"/>
    <mergeCell ref="I349:J349"/>
    <mergeCell ref="M346:M347"/>
    <mergeCell ref="S346:S347"/>
    <mergeCell ref="N346:N347"/>
    <mergeCell ref="K349:L349"/>
    <mergeCell ref="J346:J347"/>
    <mergeCell ref="N333:N334"/>
    <mergeCell ref="BP341:BQ341"/>
    <mergeCell ref="M342:S342"/>
    <mergeCell ref="BA341:BB341"/>
    <mergeCell ref="BD341:BE341"/>
    <mergeCell ref="BF341:BG341"/>
    <mergeCell ref="BI341:BJ341"/>
    <mergeCell ref="U341:V341"/>
    <mergeCell ref="K341:S341"/>
    <mergeCell ref="AY341:AZ341"/>
    <mergeCell ref="AO341:AP341"/>
    <mergeCell ref="BK341:BL341"/>
    <mergeCell ref="BN341:BO341"/>
    <mergeCell ref="AF343:AF344"/>
    <mergeCell ref="B331:D331"/>
    <mergeCell ref="F331:H331"/>
    <mergeCell ref="I331:J331"/>
    <mergeCell ref="P343:Q344"/>
    <mergeCell ref="N343:N344"/>
    <mergeCell ref="Q336:Q337"/>
    <mergeCell ref="BP331:BQ331"/>
    <mergeCell ref="AZ340:BB340"/>
    <mergeCell ref="BD340:BG340"/>
    <mergeCell ref="BJ340:BL340"/>
    <mergeCell ref="AQ341:AR341"/>
    <mergeCell ref="W341:Z341"/>
    <mergeCell ref="AT340:AW340"/>
    <mergeCell ref="M343:M344"/>
    <mergeCell ref="AT341:AU341"/>
    <mergeCell ref="AV341:AW341"/>
    <mergeCell ref="K331:S331"/>
    <mergeCell ref="R343:R344"/>
    <mergeCell ref="R336:R337"/>
    <mergeCell ref="E323:E324"/>
    <mergeCell ref="F323:F324"/>
    <mergeCell ref="G323:G324"/>
    <mergeCell ref="D323:D324"/>
    <mergeCell ref="H326:H327"/>
    <mergeCell ref="F333:F334"/>
    <mergeCell ref="G333:G334"/>
    <mergeCell ref="E333:E334"/>
    <mergeCell ref="S336:S337"/>
    <mergeCell ref="T336:T337"/>
    <mergeCell ref="F332:H332"/>
    <mergeCell ref="F342:H342"/>
    <mergeCell ref="BN331:BO331"/>
    <mergeCell ref="U331:V331"/>
    <mergeCell ref="AY331:AZ331"/>
    <mergeCell ref="AV331:AW331"/>
    <mergeCell ref="AT331:AU331"/>
    <mergeCell ref="W331:Z331"/>
    <mergeCell ref="BN329:BO329"/>
    <mergeCell ref="AF336:AF337"/>
    <mergeCell ref="AP339:AR339"/>
    <mergeCell ref="Z326:Z327"/>
    <mergeCell ref="U336:U337"/>
    <mergeCell ref="AT339:AU339"/>
    <mergeCell ref="B341:D341"/>
    <mergeCell ref="D326:D327"/>
    <mergeCell ref="E326:E327"/>
    <mergeCell ref="G326:G327"/>
    <mergeCell ref="B321:D321"/>
    <mergeCell ref="M323:M324"/>
    <mergeCell ref="BI331:BJ331"/>
    <mergeCell ref="AT330:AW330"/>
    <mergeCell ref="AT321:AU321"/>
    <mergeCell ref="AV321:AW321"/>
    <mergeCell ref="BF321:BG321"/>
    <mergeCell ref="AZ330:BB330"/>
    <mergeCell ref="AY329:AZ329"/>
    <mergeCell ref="AT329:AU329"/>
    <mergeCell ref="AP329:AR329"/>
    <mergeCell ref="R326:R327"/>
    <mergeCell ref="BD329:BE329"/>
    <mergeCell ref="AQ321:AR321"/>
    <mergeCell ref="K321:S321"/>
    <mergeCell ref="U321:V321"/>
    <mergeCell ref="BD330:BG330"/>
    <mergeCell ref="BJ330:BL330"/>
    <mergeCell ref="BK331:BL331"/>
    <mergeCell ref="BF331:BG331"/>
    <mergeCell ref="BD331:BE331"/>
    <mergeCell ref="BI329:BJ329"/>
    <mergeCell ref="F322:H322"/>
    <mergeCell ref="AO331:AP331"/>
    <mergeCell ref="AQ331:AR331"/>
    <mergeCell ref="BA331:BB331"/>
    <mergeCell ref="O326:P327"/>
    <mergeCell ref="F329:G329"/>
    <mergeCell ref="I329:J329"/>
    <mergeCell ref="T326:T327"/>
    <mergeCell ref="U326:U327"/>
    <mergeCell ref="V326:V327"/>
    <mergeCell ref="BP311:BQ311"/>
    <mergeCell ref="M312:S312"/>
    <mergeCell ref="BA311:BB311"/>
    <mergeCell ref="BD311:BE311"/>
    <mergeCell ref="BF311:BG311"/>
    <mergeCell ref="BI311:BJ311"/>
    <mergeCell ref="K311:S311"/>
    <mergeCell ref="BN311:BO311"/>
    <mergeCell ref="AO311:AP311"/>
    <mergeCell ref="U311:V311"/>
    <mergeCell ref="AP319:AR319"/>
    <mergeCell ref="W321:Z321"/>
    <mergeCell ref="V316:V317"/>
    <mergeCell ref="Y316:Y317"/>
    <mergeCell ref="S316:S317"/>
    <mergeCell ref="AQ311:AR311"/>
    <mergeCell ref="AZ320:BB320"/>
    <mergeCell ref="AT311:AU311"/>
    <mergeCell ref="P313:Q314"/>
    <mergeCell ref="BK321:BL321"/>
    <mergeCell ref="BP321:BQ321"/>
    <mergeCell ref="BI321:BJ321"/>
    <mergeCell ref="BA321:BB321"/>
    <mergeCell ref="BD321:BE321"/>
    <mergeCell ref="AY321:AZ321"/>
    <mergeCell ref="AO321:AP321"/>
    <mergeCell ref="BD320:BG320"/>
    <mergeCell ref="BJ320:BL320"/>
    <mergeCell ref="AT319:AU319"/>
    <mergeCell ref="AT320:AW320"/>
    <mergeCell ref="Z316:Z317"/>
    <mergeCell ref="U316:U317"/>
    <mergeCell ref="BN321:BO321"/>
    <mergeCell ref="S303:S304"/>
    <mergeCell ref="AO301:AP301"/>
    <mergeCell ref="AQ301:AR301"/>
    <mergeCell ref="R303:R304"/>
    <mergeCell ref="J303:J304"/>
    <mergeCell ref="C313:C314"/>
    <mergeCell ref="D313:D314"/>
    <mergeCell ref="A306:A307"/>
    <mergeCell ref="D306:D307"/>
    <mergeCell ref="B311:D311"/>
    <mergeCell ref="E306:E307"/>
    <mergeCell ref="G306:G307"/>
    <mergeCell ref="F311:H311"/>
    <mergeCell ref="I311:J311"/>
    <mergeCell ref="R306:R307"/>
    <mergeCell ref="S306:S307"/>
    <mergeCell ref="O306:P307"/>
    <mergeCell ref="H306:H307"/>
    <mergeCell ref="M306:M307"/>
    <mergeCell ref="N306:N307"/>
    <mergeCell ref="Q306:Q307"/>
    <mergeCell ref="I306:I307"/>
    <mergeCell ref="J306:J307"/>
    <mergeCell ref="R313:R314"/>
    <mergeCell ref="S313:S314"/>
    <mergeCell ref="AF316:AF317"/>
    <mergeCell ref="AZ310:BB310"/>
    <mergeCell ref="AV301:AW301"/>
    <mergeCell ref="AT310:AW310"/>
    <mergeCell ref="AT309:AU309"/>
    <mergeCell ref="AT301:AU301"/>
    <mergeCell ref="U281:V281"/>
    <mergeCell ref="K281:S281"/>
    <mergeCell ref="Q277:Q278"/>
    <mergeCell ref="BI289:BJ289"/>
    <mergeCell ref="AZ280:BB280"/>
    <mergeCell ref="AY279:AZ279"/>
    <mergeCell ref="AT281:AU281"/>
    <mergeCell ref="AT290:AW290"/>
    <mergeCell ref="AO291:AP291"/>
    <mergeCell ref="V286:V287"/>
    <mergeCell ref="AL286:AL287"/>
    <mergeCell ref="AM286:AM287"/>
    <mergeCell ref="AT291:AU291"/>
    <mergeCell ref="W281:Z281"/>
    <mergeCell ref="O277:P278"/>
    <mergeCell ref="M277:M278"/>
    <mergeCell ref="N277:N278"/>
    <mergeCell ref="AV281:AW281"/>
    <mergeCell ref="AP279:AR279"/>
    <mergeCell ref="R283:R284"/>
    <mergeCell ref="AF283:AF284"/>
    <mergeCell ref="AV291:AW291"/>
    <mergeCell ref="BD290:BG290"/>
    <mergeCell ref="BJ290:BL290"/>
    <mergeCell ref="K291:S291"/>
    <mergeCell ref="T286:T287"/>
    <mergeCell ref="U286:U287"/>
    <mergeCell ref="AG270:AG271"/>
    <mergeCell ref="AM109:AM110"/>
    <mergeCell ref="AT142:AU142"/>
    <mergeCell ref="AF129:AF130"/>
    <mergeCell ref="AL115:AL116"/>
    <mergeCell ref="AM115:AM116"/>
    <mergeCell ref="AT134:AU134"/>
    <mergeCell ref="BF114:BG114"/>
    <mergeCell ref="AO142:AR142"/>
    <mergeCell ref="BN281:BO281"/>
    <mergeCell ref="AY281:AZ281"/>
    <mergeCell ref="BI281:BJ281"/>
    <mergeCell ref="BN112:BO112"/>
    <mergeCell ref="AT122:AU122"/>
    <mergeCell ref="AT123:AW123"/>
    <mergeCell ref="BD134:BE134"/>
    <mergeCell ref="BF124:BG124"/>
    <mergeCell ref="AF139:AF140"/>
    <mergeCell ref="BI142:BJ142"/>
    <mergeCell ref="BI144:BJ144"/>
    <mergeCell ref="BJ163:BL163"/>
    <mergeCell ref="BI154:BJ154"/>
    <mergeCell ref="BD153:BG153"/>
    <mergeCell ref="BD154:BE154"/>
    <mergeCell ref="BI266:BL267"/>
    <mergeCell ref="BE176:BG176"/>
    <mergeCell ref="BF281:BG281"/>
    <mergeCell ref="AY266:BB267"/>
    <mergeCell ref="AT144:AU144"/>
    <mergeCell ref="BJ280:BL280"/>
    <mergeCell ref="AF126:AF127"/>
    <mergeCell ref="AP143:AR143"/>
    <mergeCell ref="AZ133:BB133"/>
    <mergeCell ref="BF134:BG134"/>
    <mergeCell ref="AY134:AZ134"/>
    <mergeCell ref="AZ143:BB143"/>
    <mergeCell ref="AY142:AZ142"/>
    <mergeCell ref="BA144:BB144"/>
    <mergeCell ref="AY144:AZ144"/>
    <mergeCell ref="AO134:AP134"/>
    <mergeCell ref="AO124:AP124"/>
    <mergeCell ref="AQ164:AR164"/>
    <mergeCell ref="AV134:AW134"/>
    <mergeCell ref="AT133:AW133"/>
    <mergeCell ref="AY132:AZ132"/>
    <mergeCell ref="AP133:AR133"/>
    <mergeCell ref="BF144:BG144"/>
    <mergeCell ref="AZ163:BB163"/>
    <mergeCell ref="AO132:AR132"/>
    <mergeCell ref="AO162:AR162"/>
    <mergeCell ref="BD143:BG143"/>
    <mergeCell ref="AY164:AZ164"/>
    <mergeCell ref="BA164:BB164"/>
    <mergeCell ref="AT143:AW143"/>
    <mergeCell ref="BD164:BE164"/>
    <mergeCell ref="BD142:BE142"/>
    <mergeCell ref="AO164:AP164"/>
    <mergeCell ref="AQ154:AR154"/>
    <mergeCell ref="AQ134:AR134"/>
    <mergeCell ref="AT164:AU164"/>
    <mergeCell ref="AT152:AU152"/>
    <mergeCell ref="AT163:AW163"/>
    <mergeCell ref="AV164:AW164"/>
    <mergeCell ref="BA134:BB134"/>
    <mergeCell ref="AO45:AP45"/>
    <mergeCell ref="AO53:AP53"/>
    <mergeCell ref="BA104:BB104"/>
    <mergeCell ref="AZ103:BB103"/>
    <mergeCell ref="AY102:AZ102"/>
    <mergeCell ref="BB100:BB101"/>
    <mergeCell ref="AZ64:BB64"/>
    <mergeCell ref="AY65:AZ65"/>
    <mergeCell ref="AP103:AR103"/>
    <mergeCell ref="AQ75:AR75"/>
    <mergeCell ref="AQ104:AR104"/>
    <mergeCell ref="AO104:AP104"/>
    <mergeCell ref="AP113:AR113"/>
    <mergeCell ref="AV104:AW104"/>
    <mergeCell ref="AO122:AR122"/>
    <mergeCell ref="AT102:AU102"/>
    <mergeCell ref="AT112:AU112"/>
    <mergeCell ref="AT113:AW113"/>
    <mergeCell ref="AT104:AU104"/>
    <mergeCell ref="AY63:AZ63"/>
    <mergeCell ref="AT63:AU63"/>
    <mergeCell ref="AY114:AZ114"/>
    <mergeCell ref="AY99:BA99"/>
    <mergeCell ref="BA65:BB65"/>
    <mergeCell ref="R97:R98"/>
    <mergeCell ref="S97:S98"/>
    <mergeCell ref="K88:Q88"/>
    <mergeCell ref="J60:J61"/>
    <mergeCell ref="Q97:Q98"/>
    <mergeCell ref="I77:I78"/>
    <mergeCell ref="M56:S56"/>
    <mergeCell ref="P77:Q78"/>
    <mergeCell ref="AQ25:AR25"/>
    <mergeCell ref="AQ34:AR34"/>
    <mergeCell ref="AL26:AL27"/>
    <mergeCell ref="AM26:AM27"/>
    <mergeCell ref="AF27:AF28"/>
    <mergeCell ref="AF30:AF31"/>
    <mergeCell ref="N40:N41"/>
    <mergeCell ref="Q40:Q41"/>
    <mergeCell ref="U40:U41"/>
    <mergeCell ref="Z40:Z41"/>
    <mergeCell ref="V60:V61"/>
    <mergeCell ref="Z70:Z71"/>
    <mergeCell ref="U75:V75"/>
    <mergeCell ref="U65:V65"/>
    <mergeCell ref="M80:M81"/>
    <mergeCell ref="AF80:AF81"/>
    <mergeCell ref="J80:J81"/>
    <mergeCell ref="J77:J78"/>
    <mergeCell ref="AO35:AP35"/>
    <mergeCell ref="K53:L53"/>
    <mergeCell ref="P47:Q48"/>
    <mergeCell ref="O70:P71"/>
    <mergeCell ref="AQ55:AR55"/>
    <mergeCell ref="N97:N98"/>
    <mergeCell ref="O97:P98"/>
    <mergeCell ref="AF67:AF68"/>
    <mergeCell ref="AF70:AF71"/>
    <mergeCell ref="AO25:AP25"/>
    <mergeCell ref="AG93:AG94"/>
    <mergeCell ref="R77:R78"/>
    <mergeCell ref="R80:R81"/>
    <mergeCell ref="K83:L83"/>
    <mergeCell ref="M77:M78"/>
    <mergeCell ref="N77:N78"/>
    <mergeCell ref="I65:J65"/>
    <mergeCell ref="M57:M58"/>
    <mergeCell ref="M97:M98"/>
    <mergeCell ref="M70:M71"/>
    <mergeCell ref="O60:P61"/>
    <mergeCell ref="K63:L63"/>
    <mergeCell ref="AO55:AP55"/>
    <mergeCell ref="X90:Z90"/>
    <mergeCell ref="V80:V81"/>
    <mergeCell ref="V40:V41"/>
    <mergeCell ref="M60:M61"/>
    <mergeCell ref="Z80:Z81"/>
    <mergeCell ref="Y30:Y31"/>
    <mergeCell ref="AF40:AF41"/>
    <mergeCell ref="AO73:AP73"/>
    <mergeCell ref="U25:V25"/>
    <mergeCell ref="AF37:AF38"/>
    <mergeCell ref="AO75:AP75"/>
    <mergeCell ref="U30:U31"/>
    <mergeCell ref="W35:Z35"/>
    <mergeCell ref="AG95:AG96"/>
    <mergeCell ref="Y98:Y99"/>
    <mergeCell ref="E17:E18"/>
    <mergeCell ref="F37:F38"/>
    <mergeCell ref="E30:E31"/>
    <mergeCell ref="E37:E38"/>
    <mergeCell ref="F33:G33"/>
    <mergeCell ref="G37:G38"/>
    <mergeCell ref="I43:J43"/>
    <mergeCell ref="J40:J41"/>
    <mergeCell ref="F23:G23"/>
    <mergeCell ref="I109:I110"/>
    <mergeCell ref="J106:J107"/>
    <mergeCell ref="I83:J83"/>
    <mergeCell ref="I45:J45"/>
    <mergeCell ref="J57:J58"/>
    <mergeCell ref="I70:I71"/>
    <mergeCell ref="J67:J68"/>
    <mergeCell ref="J70:J71"/>
    <mergeCell ref="F83:G83"/>
    <mergeCell ref="F105:H105"/>
    <mergeCell ref="I17:I18"/>
    <mergeCell ref="J20:J21"/>
    <mergeCell ref="J27:J28"/>
    <mergeCell ref="H20:H21"/>
    <mergeCell ref="F35:H35"/>
    <mergeCell ref="H30:H31"/>
    <mergeCell ref="I105:J105"/>
    <mergeCell ref="R8:R9"/>
    <mergeCell ref="I23:J23"/>
    <mergeCell ref="I25:J25"/>
    <mergeCell ref="V50:V51"/>
    <mergeCell ref="Y50:Y51"/>
    <mergeCell ref="Z50:Z51"/>
    <mergeCell ref="V70:V71"/>
    <mergeCell ref="O30:P31"/>
    <mergeCell ref="I27:I28"/>
    <mergeCell ref="N37:N38"/>
    <mergeCell ref="U70:U71"/>
    <mergeCell ref="Q70:Q71"/>
    <mergeCell ref="R70:R71"/>
    <mergeCell ref="S70:S71"/>
    <mergeCell ref="K45:S45"/>
    <mergeCell ref="J30:J31"/>
    <mergeCell ref="I33:J33"/>
    <mergeCell ref="I35:J35"/>
    <mergeCell ref="U55:V55"/>
    <mergeCell ref="U60:U61"/>
    <mergeCell ref="K33:L33"/>
    <mergeCell ref="I50:I51"/>
    <mergeCell ref="J50:J51"/>
    <mergeCell ref="W25:Z25"/>
    <mergeCell ref="M47:M48"/>
    <mergeCell ref="I15:J15"/>
    <mergeCell ref="M30:M31"/>
    <mergeCell ref="K23:L23"/>
    <mergeCell ref="K22:P22"/>
    <mergeCell ref="K25:S25"/>
    <mergeCell ref="W11:X11"/>
    <mergeCell ref="Y11:Z11"/>
    <mergeCell ref="H11:H12"/>
    <mergeCell ref="S57:S58"/>
    <mergeCell ref="N60:N61"/>
    <mergeCell ref="N57:N58"/>
    <mergeCell ref="B25:D25"/>
    <mergeCell ref="C37:C38"/>
    <mergeCell ref="M17:M18"/>
    <mergeCell ref="F25:H25"/>
    <mergeCell ref="G30:G31"/>
    <mergeCell ref="E40:E41"/>
    <mergeCell ref="D40:D41"/>
    <mergeCell ref="G47:G48"/>
    <mergeCell ref="D60:D61"/>
    <mergeCell ref="D57:D58"/>
    <mergeCell ref="F57:F58"/>
    <mergeCell ref="E57:E58"/>
    <mergeCell ref="H40:H41"/>
    <mergeCell ref="G40:G41"/>
    <mergeCell ref="H50:H51"/>
    <mergeCell ref="G50:G51"/>
    <mergeCell ref="G57:G58"/>
    <mergeCell ref="E60:E61"/>
    <mergeCell ref="G60:G61"/>
    <mergeCell ref="F43:G43"/>
    <mergeCell ref="F53:G53"/>
    <mergeCell ref="F55:H55"/>
    <mergeCell ref="E27:E28"/>
    <mergeCell ref="F27:F28"/>
    <mergeCell ref="F47:F48"/>
    <mergeCell ref="H60:H61"/>
    <mergeCell ref="G27:G28"/>
    <mergeCell ref="G20:G21"/>
    <mergeCell ref="D37:D38"/>
    <mergeCell ref="I57:I58"/>
    <mergeCell ref="A40:A41"/>
    <mergeCell ref="A30:A31"/>
    <mergeCell ref="C47:C48"/>
    <mergeCell ref="E47:E48"/>
    <mergeCell ref="D47:D48"/>
    <mergeCell ref="F73:G73"/>
    <mergeCell ref="F77:F78"/>
    <mergeCell ref="F63:G63"/>
    <mergeCell ref="G77:G78"/>
    <mergeCell ref="D77:D78"/>
    <mergeCell ref="B65:D65"/>
    <mergeCell ref="E77:E78"/>
    <mergeCell ref="B75:D75"/>
    <mergeCell ref="D70:D71"/>
    <mergeCell ref="E70:E71"/>
    <mergeCell ref="B67:B68"/>
    <mergeCell ref="D67:D68"/>
    <mergeCell ref="E67:E68"/>
    <mergeCell ref="A50:A51"/>
    <mergeCell ref="B55:D55"/>
    <mergeCell ref="E50:E51"/>
    <mergeCell ref="D50:D51"/>
    <mergeCell ref="C57:C58"/>
    <mergeCell ref="A47:A48"/>
    <mergeCell ref="B45:D45"/>
    <mergeCell ref="D30:D31"/>
    <mergeCell ref="B47:B48"/>
    <mergeCell ref="F67:F68"/>
    <mergeCell ref="A37:A38"/>
    <mergeCell ref="B37:B38"/>
    <mergeCell ref="AO13:AP13"/>
    <mergeCell ref="A20:A21"/>
    <mergeCell ref="J8:J9"/>
    <mergeCell ref="E80:E81"/>
    <mergeCell ref="C77:C78"/>
    <mergeCell ref="A67:A68"/>
    <mergeCell ref="A77:A78"/>
    <mergeCell ref="B77:B78"/>
    <mergeCell ref="G80:G81"/>
    <mergeCell ref="A60:A61"/>
    <mergeCell ref="U80:U81"/>
    <mergeCell ref="S67:S68"/>
    <mergeCell ref="I80:I81"/>
    <mergeCell ref="R67:R68"/>
    <mergeCell ref="I75:J75"/>
    <mergeCell ref="I67:I68"/>
    <mergeCell ref="P57:Q58"/>
    <mergeCell ref="P67:Q68"/>
    <mergeCell ref="M76:S76"/>
    <mergeCell ref="K75:S75"/>
    <mergeCell ref="N67:N68"/>
    <mergeCell ref="M66:S66"/>
    <mergeCell ref="R57:R58"/>
    <mergeCell ref="Q80:Q81"/>
    <mergeCell ref="O80:P81"/>
    <mergeCell ref="K73:L73"/>
    <mergeCell ref="N70:N71"/>
    <mergeCell ref="M67:M68"/>
    <mergeCell ref="A80:A81"/>
    <mergeCell ref="D80:D81"/>
    <mergeCell ref="G17:G18"/>
    <mergeCell ref="B35:D35"/>
    <mergeCell ref="CD5:CH5"/>
    <mergeCell ref="O20:P21"/>
    <mergeCell ref="O8:P9"/>
    <mergeCell ref="Y9:Y10"/>
    <mergeCell ref="Z9:Z10"/>
    <mergeCell ref="S17:S18"/>
    <mergeCell ref="AH11:AH12"/>
    <mergeCell ref="Q20:Q21"/>
    <mergeCell ref="AT13:AU13"/>
    <mergeCell ref="BN15:BO15"/>
    <mergeCell ref="BP15:BQ15"/>
    <mergeCell ref="A1:W1"/>
    <mergeCell ref="M8:M9"/>
    <mergeCell ref="A2:C2"/>
    <mergeCell ref="AO15:AP15"/>
    <mergeCell ref="AQ15:AR15"/>
    <mergeCell ref="AT15:AU15"/>
    <mergeCell ref="AV15:AW15"/>
    <mergeCell ref="A8:B9"/>
    <mergeCell ref="AX1:BV3"/>
    <mergeCell ref="W3:Z4"/>
    <mergeCell ref="X1:Z1"/>
    <mergeCell ref="AO11:AR12"/>
    <mergeCell ref="AL20:AL21"/>
    <mergeCell ref="AM20:AM21"/>
    <mergeCell ref="AF17:AF18"/>
    <mergeCell ref="AF20:AF21"/>
    <mergeCell ref="AG4:AG5"/>
    <mergeCell ref="D2:F2"/>
    <mergeCell ref="A11:B12"/>
    <mergeCell ref="D11:D12"/>
    <mergeCell ref="AG6:AG7"/>
    <mergeCell ref="D8:D9"/>
    <mergeCell ref="A6:U6"/>
    <mergeCell ref="O11:P12"/>
    <mergeCell ref="Q11:Q12"/>
    <mergeCell ref="T60:T61"/>
    <mergeCell ref="T70:T71"/>
    <mergeCell ref="M16:S16"/>
    <mergeCell ref="I60:I61"/>
    <mergeCell ref="C11:C12"/>
    <mergeCell ref="Q60:Q61"/>
    <mergeCell ref="T20:T21"/>
    <mergeCell ref="K55:S55"/>
    <mergeCell ref="R50:R51"/>
    <mergeCell ref="R60:R61"/>
    <mergeCell ref="Q8:Q9"/>
    <mergeCell ref="N8:N9"/>
    <mergeCell ref="C8:C9"/>
    <mergeCell ref="E8:G9"/>
    <mergeCell ref="S60:S61"/>
    <mergeCell ref="K65:S65"/>
    <mergeCell ref="H70:H71"/>
    <mergeCell ref="G70:G71"/>
    <mergeCell ref="A57:A58"/>
    <mergeCell ref="B57:B58"/>
    <mergeCell ref="A70:A71"/>
    <mergeCell ref="C67:C68"/>
    <mergeCell ref="A27:A28"/>
    <mergeCell ref="B27:B28"/>
    <mergeCell ref="E20:E21"/>
    <mergeCell ref="N20:N21"/>
    <mergeCell ref="M20:M21"/>
    <mergeCell ref="R47:R48"/>
    <mergeCell ref="AO23:AP23"/>
    <mergeCell ref="AO65:AP65"/>
    <mergeCell ref="AQ44:AR44"/>
    <mergeCell ref="AT23:AU23"/>
    <mergeCell ref="F16:H16"/>
    <mergeCell ref="I16:J16"/>
    <mergeCell ref="F26:H26"/>
    <mergeCell ref="F36:H36"/>
    <mergeCell ref="F46:H46"/>
    <mergeCell ref="F56:H56"/>
    <mergeCell ref="F66:H66"/>
    <mergeCell ref="F76:H76"/>
    <mergeCell ref="I63:J63"/>
    <mergeCell ref="R30:R31"/>
    <mergeCell ref="P37:Q38"/>
    <mergeCell ref="R37:R38"/>
    <mergeCell ref="N30:N31"/>
    <mergeCell ref="Q30:Q31"/>
    <mergeCell ref="M36:S36"/>
    <mergeCell ref="K35:S35"/>
    <mergeCell ref="S37:S38"/>
    <mergeCell ref="I40:I41"/>
    <mergeCell ref="M37:M38"/>
    <mergeCell ref="I37:I38"/>
    <mergeCell ref="J37:J38"/>
    <mergeCell ref="S40:S41"/>
    <mergeCell ref="Q50:Q51"/>
    <mergeCell ref="S50:S51"/>
    <mergeCell ref="R40:R41"/>
    <mergeCell ref="AQ24:AR24"/>
    <mergeCell ref="AT64:AW64"/>
    <mergeCell ref="U22:Y22"/>
    <mergeCell ref="M46:S46"/>
    <mergeCell ref="T50:T51"/>
    <mergeCell ref="L87:R87"/>
    <mergeCell ref="T80:T81"/>
    <mergeCell ref="S77:S78"/>
    <mergeCell ref="N80:N81"/>
    <mergeCell ref="S27:S28"/>
    <mergeCell ref="M26:S26"/>
    <mergeCell ref="P27:Q28"/>
    <mergeCell ref="M27:M28"/>
    <mergeCell ref="N27:N28"/>
    <mergeCell ref="O40:P41"/>
    <mergeCell ref="T40:T41"/>
    <mergeCell ref="I47:I48"/>
    <mergeCell ref="J47:J48"/>
    <mergeCell ref="I53:J53"/>
    <mergeCell ref="N50:N51"/>
    <mergeCell ref="S30:S31"/>
    <mergeCell ref="M40:M41"/>
    <mergeCell ref="R27:R28"/>
    <mergeCell ref="I26:J26"/>
    <mergeCell ref="I36:J36"/>
    <mergeCell ref="I46:J46"/>
    <mergeCell ref="I73:J73"/>
    <mergeCell ref="M50:M51"/>
    <mergeCell ref="S47:S48"/>
    <mergeCell ref="N47:N48"/>
    <mergeCell ref="L353:R353"/>
    <mergeCell ref="V346:V347"/>
    <mergeCell ref="N286:N287"/>
    <mergeCell ref="Q286:Q287"/>
    <mergeCell ref="R286:R287"/>
    <mergeCell ref="O286:P287"/>
    <mergeCell ref="K288:P288"/>
    <mergeCell ref="M286:M287"/>
    <mergeCell ref="AF286:AF287"/>
    <mergeCell ref="Q316:Q317"/>
    <mergeCell ref="R316:R317"/>
    <mergeCell ref="O316:P317"/>
    <mergeCell ref="S333:S334"/>
    <mergeCell ref="R333:R334"/>
    <mergeCell ref="AF306:AF307"/>
    <mergeCell ref="AF296:AF297"/>
    <mergeCell ref="M322:S322"/>
    <mergeCell ref="AF326:AF327"/>
    <mergeCell ref="S326:S327"/>
    <mergeCell ref="U291:V291"/>
    <mergeCell ref="AF346:AF347"/>
    <mergeCell ref="Q346:Q347"/>
    <mergeCell ref="R346:R347"/>
    <mergeCell ref="O346:P347"/>
    <mergeCell ref="U346:U347"/>
    <mergeCell ref="T316:T317"/>
    <mergeCell ref="V306:V307"/>
    <mergeCell ref="Y296:Y297"/>
    <mergeCell ref="R293:R294"/>
    <mergeCell ref="AO114:AP114"/>
    <mergeCell ref="AQ114:AR114"/>
    <mergeCell ref="W65:Z65"/>
    <mergeCell ref="AQ65:AR65"/>
    <mergeCell ref="AT75:AU75"/>
    <mergeCell ref="AV75:AW75"/>
    <mergeCell ref="AT114:AU114"/>
    <mergeCell ref="AV55:AW55"/>
    <mergeCell ref="AT124:AU124"/>
    <mergeCell ref="AQ74:AR74"/>
    <mergeCell ref="AY55:AZ55"/>
    <mergeCell ref="AV114:AW114"/>
    <mergeCell ref="AZ113:BB113"/>
    <mergeCell ref="AY112:AZ112"/>
    <mergeCell ref="AZ123:BB123"/>
    <mergeCell ref="AF77:AF78"/>
    <mergeCell ref="AF60:AF61"/>
    <mergeCell ref="AF109:AF110"/>
    <mergeCell ref="AJ103:AM104"/>
    <mergeCell ref="W114:Z114"/>
    <mergeCell ref="AL109:AL110"/>
    <mergeCell ref="AY124:AZ124"/>
    <mergeCell ref="BA124:BB124"/>
    <mergeCell ref="AO102:AR102"/>
    <mergeCell ref="AO74:AP74"/>
    <mergeCell ref="AO63:AP63"/>
    <mergeCell ref="AT65:AU65"/>
    <mergeCell ref="AV65:AW65"/>
    <mergeCell ref="AV124:AW124"/>
    <mergeCell ref="AY104:AZ104"/>
    <mergeCell ref="AY122:AZ122"/>
    <mergeCell ref="U111:Y111"/>
    <mergeCell ref="S8:S9"/>
    <mergeCell ref="H8:H9"/>
    <mergeCell ref="O50:P51"/>
    <mergeCell ref="I20:I21"/>
    <mergeCell ref="F17:F18"/>
    <mergeCell ref="J17:J18"/>
    <mergeCell ref="N17:N18"/>
    <mergeCell ref="S20:S21"/>
    <mergeCell ref="R20:R21"/>
    <mergeCell ref="R17:R18"/>
    <mergeCell ref="S283:S284"/>
    <mergeCell ref="S286:S287"/>
    <mergeCell ref="AF106:AF107"/>
    <mergeCell ref="AQ54:AR54"/>
    <mergeCell ref="AF57:AF58"/>
    <mergeCell ref="U50:U51"/>
    <mergeCell ref="U45:V45"/>
    <mergeCell ref="AQ45:AR45"/>
    <mergeCell ref="W45:Z45"/>
    <mergeCell ref="AP123:AR123"/>
    <mergeCell ref="AQ124:AR124"/>
    <mergeCell ref="AO33:AP33"/>
    <mergeCell ref="AO43:AP43"/>
    <mergeCell ref="AJ14:AM15"/>
    <mergeCell ref="T14:Z14"/>
    <mergeCell ref="U20:U21"/>
    <mergeCell ref="V20:V21"/>
    <mergeCell ref="V30:V31"/>
    <mergeCell ref="T30:T31"/>
    <mergeCell ref="M109:M110"/>
    <mergeCell ref="F15:H15"/>
    <mergeCell ref="AO112:AR112"/>
    <mergeCell ref="Y326:Y327"/>
    <mergeCell ref="AF146:AF147"/>
    <mergeCell ref="AF333:AF334"/>
    <mergeCell ref="Y139:Y140"/>
    <mergeCell ref="Z139:Z140"/>
    <mergeCell ref="V139:V140"/>
    <mergeCell ref="W358:X358"/>
    <mergeCell ref="Y306:Y307"/>
    <mergeCell ref="Z286:Z287"/>
    <mergeCell ref="U288:Y288"/>
    <mergeCell ref="V296:V297"/>
    <mergeCell ref="A3:C4"/>
    <mergeCell ref="A269:C270"/>
    <mergeCell ref="K15:S15"/>
    <mergeCell ref="E11:G12"/>
    <mergeCell ref="N11:N12"/>
    <mergeCell ref="E5:F5"/>
    <mergeCell ref="M11:M12"/>
    <mergeCell ref="S80:S81"/>
    <mergeCell ref="B15:D15"/>
    <mergeCell ref="AF303:AF304"/>
    <mergeCell ref="AF313:AF314"/>
    <mergeCell ref="U15:V15"/>
    <mergeCell ref="W15:Z15"/>
    <mergeCell ref="AF47:AF48"/>
    <mergeCell ref="AF50:AF51"/>
    <mergeCell ref="U35:V35"/>
    <mergeCell ref="AF166:AF167"/>
    <mergeCell ref="U306:U307"/>
    <mergeCell ref="W311:Z311"/>
    <mergeCell ref="K111:P111"/>
    <mergeCell ref="J11:J12"/>
    <mergeCell ref="AT74:AW74"/>
    <mergeCell ref="BJ103:BL103"/>
    <mergeCell ref="BD112:BE112"/>
    <mergeCell ref="BI112:BJ112"/>
    <mergeCell ref="BD65:BE65"/>
    <mergeCell ref="BF65:BG65"/>
    <mergeCell ref="BD45:BE45"/>
    <mergeCell ref="AY73:AZ73"/>
    <mergeCell ref="AZ74:BB74"/>
    <mergeCell ref="V381:V387"/>
    <mergeCell ref="W381:X381"/>
    <mergeCell ref="Y381:Z381"/>
    <mergeCell ref="Y386:Y387"/>
    <mergeCell ref="Z386:Z387"/>
    <mergeCell ref="W373:X373"/>
    <mergeCell ref="Y373:Z373"/>
    <mergeCell ref="AF323:AF324"/>
    <mergeCell ref="Y378:Y379"/>
    <mergeCell ref="Z378:Z379"/>
    <mergeCell ref="Y346:Y347"/>
    <mergeCell ref="Y371:Y372"/>
    <mergeCell ref="Z371:Z372"/>
    <mergeCell ref="Y363:Y364"/>
    <mergeCell ref="Z363:Z364"/>
    <mergeCell ref="Y358:Z358"/>
    <mergeCell ref="W55:Z55"/>
    <mergeCell ref="AF116:AF117"/>
    <mergeCell ref="Z306:Z307"/>
    <mergeCell ref="BA75:BB75"/>
    <mergeCell ref="AY75:AZ75"/>
    <mergeCell ref="BI45:BJ45"/>
    <mergeCell ref="AF149:AF150"/>
    <mergeCell ref="BD113:BG113"/>
    <mergeCell ref="AY25:AZ25"/>
    <mergeCell ref="BA25:BB25"/>
    <mergeCell ref="AZ34:BB34"/>
    <mergeCell ref="BF45:BG45"/>
    <mergeCell ref="AY53:AZ53"/>
    <mergeCell ref="AZ54:BB54"/>
    <mergeCell ref="BA45:BB45"/>
    <mergeCell ref="BN45:BO45"/>
    <mergeCell ref="BD75:BE75"/>
    <mergeCell ref="BN55:BO55"/>
    <mergeCell ref="BK25:BL25"/>
    <mergeCell ref="BJ24:BL24"/>
    <mergeCell ref="BI75:BJ75"/>
    <mergeCell ref="BJ87:BL87"/>
    <mergeCell ref="BE87:BG87"/>
    <mergeCell ref="BK35:BL35"/>
    <mergeCell ref="BJ74:BL74"/>
    <mergeCell ref="BD64:BG64"/>
    <mergeCell ref="BK65:BL65"/>
    <mergeCell ref="BF75:BG75"/>
    <mergeCell ref="AZ44:BB44"/>
    <mergeCell ref="AY10:BA10"/>
    <mergeCell ref="BA15:BB15"/>
    <mergeCell ref="AV35:AW35"/>
    <mergeCell ref="AT25:AU25"/>
    <mergeCell ref="AY33:AZ33"/>
    <mergeCell ref="AV25:AW25"/>
    <mergeCell ref="AY43:AZ43"/>
    <mergeCell ref="AT35:AU35"/>
    <mergeCell ref="BB11:BB12"/>
    <mergeCell ref="BA35:BB35"/>
    <mergeCell ref="AY35:AZ35"/>
    <mergeCell ref="AY13:AZ13"/>
    <mergeCell ref="BD54:BG54"/>
    <mergeCell ref="AT45:AU45"/>
    <mergeCell ref="AV45:AW45"/>
    <mergeCell ref="AT54:AW54"/>
    <mergeCell ref="AT55:AU55"/>
    <mergeCell ref="AT53:AU53"/>
    <mergeCell ref="AT14:AW14"/>
    <mergeCell ref="BD25:BE25"/>
    <mergeCell ref="BF25:BG25"/>
    <mergeCell ref="BA55:BB55"/>
    <mergeCell ref="BF35:BG35"/>
    <mergeCell ref="BD35:BE35"/>
    <mergeCell ref="AT24:AW24"/>
    <mergeCell ref="AZ14:BB14"/>
    <mergeCell ref="AY15:AZ15"/>
    <mergeCell ref="AY23:AZ23"/>
    <mergeCell ref="AZ24:BB24"/>
    <mergeCell ref="BD14:BG14"/>
    <mergeCell ref="AT43:AU43"/>
    <mergeCell ref="AT44:AW44"/>
    <mergeCell ref="CP63:CP64"/>
    <mergeCell ref="CO45:CO46"/>
    <mergeCell ref="CP45:CP46"/>
    <mergeCell ref="CL45:CL46"/>
    <mergeCell ref="CM45:CM46"/>
    <mergeCell ref="CO63:CO64"/>
    <mergeCell ref="BK75:BL75"/>
    <mergeCell ref="BI65:BJ65"/>
    <mergeCell ref="CK8:CN9"/>
    <mergeCell ref="CM28:CM29"/>
    <mergeCell ref="CK63:CK64"/>
    <mergeCell ref="CL63:CL64"/>
    <mergeCell ref="CM63:CM64"/>
    <mergeCell ref="CL28:CL29"/>
    <mergeCell ref="CK47:CK51"/>
    <mergeCell ref="CK28:CK29"/>
    <mergeCell ref="CK30:CK34"/>
    <mergeCell ref="CK65:CK69"/>
    <mergeCell ref="BI25:BJ25"/>
    <mergeCell ref="BN25:BO25"/>
    <mergeCell ref="BJ54:BL54"/>
    <mergeCell ref="BI55:BJ55"/>
    <mergeCell ref="BK55:BL55"/>
    <mergeCell ref="CK45:CK46"/>
    <mergeCell ref="BP75:BQ75"/>
    <mergeCell ref="BP55:BQ55"/>
    <mergeCell ref="BP45:BQ45"/>
    <mergeCell ref="BN65:BO65"/>
    <mergeCell ref="BN75:BO75"/>
    <mergeCell ref="BJ64:BL64"/>
    <mergeCell ref="CD94:CH94"/>
    <mergeCell ref="AQ14:AR14"/>
    <mergeCell ref="BD103:BG103"/>
    <mergeCell ref="BF104:BG104"/>
    <mergeCell ref="BI104:BJ104"/>
    <mergeCell ref="BD104:BE104"/>
    <mergeCell ref="BI15:BJ15"/>
    <mergeCell ref="BF15:BG15"/>
    <mergeCell ref="BD15:BE15"/>
    <mergeCell ref="BP25:BQ25"/>
    <mergeCell ref="BN35:BO35"/>
    <mergeCell ref="BP35:BQ35"/>
    <mergeCell ref="BI35:BJ35"/>
    <mergeCell ref="BF55:BG55"/>
    <mergeCell ref="BP65:BQ65"/>
    <mergeCell ref="BO87:BQ87"/>
    <mergeCell ref="AT34:AW34"/>
    <mergeCell ref="BD24:BG24"/>
    <mergeCell ref="BD34:BG34"/>
    <mergeCell ref="AT33:AU33"/>
    <mergeCell ref="AY45:AZ45"/>
    <mergeCell ref="BJ14:BL14"/>
    <mergeCell ref="BD44:BG44"/>
    <mergeCell ref="BK45:BL45"/>
    <mergeCell ref="BD74:BG74"/>
    <mergeCell ref="AZ87:BB87"/>
    <mergeCell ref="BD55:BE55"/>
    <mergeCell ref="BJ34:BL34"/>
    <mergeCell ref="BJ44:BL44"/>
    <mergeCell ref="AT73:AU73"/>
    <mergeCell ref="AQ35:AR35"/>
    <mergeCell ref="AQ64:AR64"/>
    <mergeCell ref="BD310:BG310"/>
    <mergeCell ref="AV311:AW311"/>
    <mergeCell ref="AY301:AZ301"/>
    <mergeCell ref="AY289:AZ289"/>
    <mergeCell ref="AZ176:BB176"/>
    <mergeCell ref="BD266:BG267"/>
    <mergeCell ref="AY311:AZ311"/>
    <mergeCell ref="BD301:BE301"/>
    <mergeCell ref="BF301:BG301"/>
    <mergeCell ref="BI301:BJ301"/>
    <mergeCell ref="BJ310:BL310"/>
    <mergeCell ref="BK311:BL311"/>
    <mergeCell ref="AY276:BA276"/>
    <mergeCell ref="AT280:AW280"/>
    <mergeCell ref="AT279:AU279"/>
    <mergeCell ref="BB277:BB278"/>
    <mergeCell ref="BI192:BJ192"/>
    <mergeCell ref="BD300:BG300"/>
    <mergeCell ref="BB188:BB189"/>
    <mergeCell ref="AT190:AU190"/>
    <mergeCell ref="BI291:BJ291"/>
    <mergeCell ref="BD200:BE200"/>
    <mergeCell ref="BI200:BJ200"/>
    <mergeCell ref="BI220:BJ220"/>
    <mergeCell ref="AY291:AZ291"/>
    <mergeCell ref="BD210:BE210"/>
    <mergeCell ref="BI210:BJ210"/>
    <mergeCell ref="AT230:AU230"/>
    <mergeCell ref="AY230:AZ230"/>
    <mergeCell ref="BD230:BE230"/>
    <mergeCell ref="BI230:BJ230"/>
    <mergeCell ref="CP100:CP101"/>
    <mergeCell ref="AZ153:BB153"/>
    <mergeCell ref="BA154:BB154"/>
    <mergeCell ref="AY162:AZ162"/>
    <mergeCell ref="AV154:AW154"/>
    <mergeCell ref="AT289:AU289"/>
    <mergeCell ref="BD162:BE162"/>
    <mergeCell ref="BD122:BE122"/>
    <mergeCell ref="AT132:AU132"/>
    <mergeCell ref="BA114:BB114"/>
    <mergeCell ref="BA281:BB281"/>
    <mergeCell ref="BA301:BB301"/>
    <mergeCell ref="AT299:AU299"/>
    <mergeCell ref="AT300:AW300"/>
    <mergeCell ref="BA192:BB192"/>
    <mergeCell ref="AT200:AU200"/>
    <mergeCell ref="CK102:CK106"/>
    <mergeCell ref="CK100:CK101"/>
    <mergeCell ref="CL100:CL101"/>
    <mergeCell ref="CM100:CM101"/>
    <mergeCell ref="BN134:BO134"/>
    <mergeCell ref="BJ143:BL143"/>
    <mergeCell ref="BJ133:BL133"/>
    <mergeCell ref="BN124:BO124"/>
    <mergeCell ref="CD182:CH182"/>
    <mergeCell ref="BN210:BO210"/>
    <mergeCell ref="BN212:BO212"/>
    <mergeCell ref="CO100:CO101"/>
    <mergeCell ref="BP281:BQ281"/>
    <mergeCell ref="BD281:BE281"/>
    <mergeCell ref="BN291:BO291"/>
    <mergeCell ref="BP301:BQ301"/>
    <mergeCell ref="BN289:BO289"/>
    <mergeCell ref="BD280:BG280"/>
    <mergeCell ref="BN266:BQ267"/>
    <mergeCell ref="BD289:BE289"/>
    <mergeCell ref="BO176:BQ176"/>
    <mergeCell ref="BJ176:BL176"/>
    <mergeCell ref="AO190:AR190"/>
    <mergeCell ref="BN162:BO162"/>
    <mergeCell ref="BP291:BQ291"/>
    <mergeCell ref="BK291:BL291"/>
    <mergeCell ref="AT154:AU154"/>
    <mergeCell ref="AZ300:BB300"/>
    <mergeCell ref="BN301:BO301"/>
    <mergeCell ref="BN192:BO192"/>
    <mergeCell ref="BD192:BE192"/>
    <mergeCell ref="BF192:BG192"/>
    <mergeCell ref="BJ191:BL191"/>
    <mergeCell ref="BJ300:BL300"/>
    <mergeCell ref="BK301:BL301"/>
    <mergeCell ref="AO281:AP281"/>
    <mergeCell ref="AQ281:AR281"/>
    <mergeCell ref="AP280:AR280"/>
    <mergeCell ref="AO154:AP154"/>
    <mergeCell ref="BA291:BB291"/>
    <mergeCell ref="BD291:BE291"/>
    <mergeCell ref="BF291:BG291"/>
    <mergeCell ref="AQ291:AR291"/>
    <mergeCell ref="BN164:BO164"/>
    <mergeCell ref="BP164:BQ164"/>
    <mergeCell ref="BI164:BJ164"/>
    <mergeCell ref="BN154:BO154"/>
    <mergeCell ref="AO200:AR200"/>
    <mergeCell ref="A227:A228"/>
    <mergeCell ref="D227:D228"/>
    <mergeCell ref="H80:H81"/>
    <mergeCell ref="J116:J117"/>
    <mergeCell ref="AP289:AR289"/>
    <mergeCell ref="AP153:AR153"/>
    <mergeCell ref="AP299:AR299"/>
    <mergeCell ref="AP309:AR309"/>
    <mergeCell ref="AO144:AP144"/>
    <mergeCell ref="AQ144:AR144"/>
    <mergeCell ref="AY200:AZ200"/>
    <mergeCell ref="AO210:AR210"/>
    <mergeCell ref="AT210:AU210"/>
    <mergeCell ref="AY210:AZ210"/>
    <mergeCell ref="AY154:AZ154"/>
    <mergeCell ref="AZ290:BB290"/>
    <mergeCell ref="AP163:AR163"/>
    <mergeCell ref="AV144:AW144"/>
    <mergeCell ref="AT162:AU162"/>
    <mergeCell ref="AT103:AW103"/>
    <mergeCell ref="AL292:AL293"/>
    <mergeCell ref="AM292:AM293"/>
    <mergeCell ref="AF293:AF294"/>
    <mergeCell ref="U301:V301"/>
    <mergeCell ref="W124:Z124"/>
    <mergeCell ref="Z119:Z120"/>
    <mergeCell ref="Y286:Y287"/>
    <mergeCell ref="AO152:AR152"/>
    <mergeCell ref="AF156:AF157"/>
    <mergeCell ref="Y169:Y170"/>
    <mergeCell ref="AT153:AW153"/>
    <mergeCell ref="A217:A218"/>
    <mergeCell ref="D217:D218"/>
    <mergeCell ref="E217:E218"/>
    <mergeCell ref="G217:G218"/>
    <mergeCell ref="H217:H218"/>
    <mergeCell ref="I217:I218"/>
    <mergeCell ref="J217:J218"/>
    <mergeCell ref="R109:R110"/>
    <mergeCell ref="R106:R107"/>
    <mergeCell ref="P106:Q107"/>
    <mergeCell ref="J97:J98"/>
    <mergeCell ref="I55:J55"/>
    <mergeCell ref="H274:H275"/>
    <mergeCell ref="D179:F179"/>
    <mergeCell ref="D188:D189"/>
    <mergeCell ref="E188:G189"/>
    <mergeCell ref="H188:H189"/>
    <mergeCell ref="F193:H193"/>
    <mergeCell ref="E116:E117"/>
    <mergeCell ref="D129:D130"/>
    <mergeCell ref="E129:E130"/>
    <mergeCell ref="E136:E137"/>
    <mergeCell ref="F136:F137"/>
    <mergeCell ref="G136:G137"/>
    <mergeCell ref="B144:D144"/>
    <mergeCell ref="D185:D186"/>
    <mergeCell ref="I56:J56"/>
    <mergeCell ref="I66:J66"/>
    <mergeCell ref="I76:J76"/>
    <mergeCell ref="A91:C91"/>
    <mergeCell ref="B114:D114"/>
    <mergeCell ref="F114:H114"/>
    <mergeCell ref="F115:H115"/>
    <mergeCell ref="F122:G122"/>
    <mergeCell ref="A149:A150"/>
    <mergeCell ref="D149:D150"/>
    <mergeCell ref="I145:J145"/>
    <mergeCell ref="C116:C117"/>
    <mergeCell ref="A87:D87"/>
    <mergeCell ref="A97:B98"/>
    <mergeCell ref="C97:C98"/>
    <mergeCell ref="J188:J189"/>
    <mergeCell ref="I193:J193"/>
    <mergeCell ref="J119:J120"/>
    <mergeCell ref="J139:J140"/>
    <mergeCell ref="C100:C101"/>
    <mergeCell ref="D116:D117"/>
    <mergeCell ref="J100:J101"/>
    <mergeCell ref="H100:H101"/>
    <mergeCell ref="I122:J122"/>
    <mergeCell ref="I125:J125"/>
    <mergeCell ref="I114:J114"/>
    <mergeCell ref="I135:J135"/>
    <mergeCell ref="D119:D120"/>
    <mergeCell ref="E119:E120"/>
    <mergeCell ref="G119:G120"/>
    <mergeCell ref="H119:H120"/>
    <mergeCell ref="I119:I120"/>
    <mergeCell ref="F132:G132"/>
    <mergeCell ref="I132:J132"/>
    <mergeCell ref="A156:A157"/>
    <mergeCell ref="A166:A167"/>
    <mergeCell ref="B166:B167"/>
    <mergeCell ref="E149:E150"/>
    <mergeCell ref="E146:E147"/>
  </mergeCells>
  <phoneticPr fontId="2"/>
  <pageMargins left="0.69" right="0.19685039370078741" top="0.62" bottom="0.32" header="0.34" footer="0.51181102362204722"/>
  <pageSetup paperSize="9" scale="49" orientation="portrait" r:id="rId1"/>
  <headerFooter alignWithMargins="0">
    <oddHeader>&amp;R&amp;D　&amp;T</oddHeader>
  </headerFooter>
  <rowBreaks count="4" manualBreakCount="4">
    <brk id="88" max="26" man="1"/>
    <brk id="177" max="26" man="1"/>
    <brk id="265" max="16383" man="1"/>
    <brk id="354" max="26" man="1"/>
  </rowBreaks>
  <colBreaks count="2" manualBreakCount="2">
    <brk id="33" max="174" man="1"/>
    <brk id="69"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F46" sqref="F46:K46"/>
    </sheetView>
  </sheetViews>
  <sheetFormatPr defaultRowHeight="13.5"/>
  <cols>
    <col min="1" max="1" width="11.625" customWidth="1"/>
    <col min="2" max="2" width="11.5" customWidth="1"/>
    <col min="3" max="3" width="12.625" customWidth="1"/>
  </cols>
  <sheetData>
    <row r="1" spans="1:3" ht="12" customHeight="1">
      <c r="A1" s="1609" t="s">
        <v>389</v>
      </c>
      <c r="B1" s="1609" t="s">
        <v>395</v>
      </c>
      <c r="C1" s="1610"/>
    </row>
    <row r="2" spans="1:3" ht="12" customHeight="1">
      <c r="A2" s="1610"/>
      <c r="B2" s="1610"/>
      <c r="C2" s="1610"/>
    </row>
    <row r="3" spans="1:3" ht="15" customHeight="1">
      <c r="A3" s="1610"/>
      <c r="B3" s="1609" t="s">
        <v>390</v>
      </c>
      <c r="C3" s="1609" t="s">
        <v>391</v>
      </c>
    </row>
    <row r="4" spans="1:3" ht="15" customHeight="1">
      <c r="A4" s="1610"/>
      <c r="B4" s="1610"/>
      <c r="C4" s="1610"/>
    </row>
    <row r="5" spans="1:3" ht="13.5" customHeight="1">
      <c r="A5" s="617" t="s">
        <v>341</v>
      </c>
      <c r="B5" s="618" t="s">
        <v>439</v>
      </c>
      <c r="C5" s="618" t="s">
        <v>441</v>
      </c>
    </row>
    <row r="6" spans="1:3" ht="13.5" customHeight="1">
      <c r="A6" s="617" t="s">
        <v>392</v>
      </c>
      <c r="B6" s="618" t="s">
        <v>440</v>
      </c>
      <c r="C6" s="618" t="s">
        <v>443</v>
      </c>
    </row>
    <row r="7" spans="1:3" ht="13.5" customHeight="1">
      <c r="A7" s="617" t="s">
        <v>393</v>
      </c>
      <c r="B7" s="618" t="s">
        <v>441</v>
      </c>
      <c r="C7" s="618" t="s">
        <v>444</v>
      </c>
    </row>
    <row r="8" spans="1:3" ht="13.5" customHeight="1">
      <c r="A8" s="617" t="s">
        <v>394</v>
      </c>
      <c r="B8" s="618" t="s">
        <v>442</v>
      </c>
      <c r="C8" s="618" t="s">
        <v>445</v>
      </c>
    </row>
  </sheetData>
  <mergeCells count="4">
    <mergeCell ref="A1:A4"/>
    <mergeCell ref="B1:C2"/>
    <mergeCell ref="B3:B4"/>
    <mergeCell ref="C3:C4"/>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Sheet1</vt:lpstr>
      <vt:lpstr>入力画面</vt:lpstr>
      <vt:lpstr>算出表</vt:lpstr>
      <vt:lpstr>軽減基準額早見表</vt:lpstr>
      <vt:lpstr>合計（印刷）</vt:lpstr>
      <vt:lpstr>医療分・支援・子供・介護分（印刷））</vt:lpstr>
      <vt:lpstr>表作成用</vt:lpstr>
      <vt:lpstr>算出表!OLE_LINK1</vt:lpstr>
      <vt:lpstr>算出表!OLE_LINK2</vt:lpstr>
      <vt:lpstr>Sheet1!Print_Area</vt:lpstr>
      <vt:lpstr>'医療分・支援・子供・介護分（印刷））'!Print_Area</vt:lpstr>
      <vt:lpstr>軽減基準額早見表!Print_Area</vt:lpstr>
      <vt:lpstr>'合計（印刷）'!Print_Area</vt:lpstr>
      <vt:lpstr>算出表!Print_Area</vt:lpstr>
      <vt:lpstr>入力画面!Print_Area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哲也</dc:creator>
  <cp:lastModifiedBy>Administrator</cp:lastModifiedBy>
  <cp:lastPrinted>2026-06-16T02:52:08Z</cp:lastPrinted>
  <dcterms:created xsi:type="dcterms:W3CDTF">2004-02-29T06:19:40Z</dcterms:created>
  <dcterms:modified xsi:type="dcterms:W3CDTF">2026-06-16T07:07:20Z</dcterms:modified>
</cp:coreProperties>
</file>